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AqqlC1uh7Z/0FeFXkxNzmqQ50yPYVau78wY/XXvYIi5Cyvtg7K/au73p4BX7PU/dduLd4awDjcXC5Yr6ap+4A==" workbookSaltValue="JFEsFnT9s3tWftJjzTzK6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BG9" i="11"/>
  <c r="BH17" i="11"/>
  <c r="AP17" i="20"/>
  <c r="BW9" i="20"/>
  <c r="BV16" i="16"/>
  <c r="BV15" i="16"/>
  <c r="BU9" i="17"/>
  <c r="BU17" i="17"/>
  <c r="BV9" i="16"/>
  <c r="AA15" i="16"/>
  <c r="T16" i="11"/>
  <c r="P15" i="17"/>
  <c r="BL15" i="11"/>
  <c r="R11" i="14"/>
  <c r="BK16" i="11"/>
  <c r="BG16" i="11"/>
  <c r="BM9" i="11"/>
  <c r="BK10" i="11"/>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U10" i="11"/>
  <c r="Z20" i="20"/>
  <c r="M20" i="20"/>
  <c r="O20" i="20"/>
  <c r="W20" i="21"/>
  <c r="AH20" i="20"/>
  <c r="AI20" i="20"/>
  <c r="AF20" i="20"/>
  <c r="AX20" i="20"/>
  <c r="AZ20" i="20"/>
  <c r="AG20" i="20"/>
  <c r="AC20" i="20"/>
  <c r="Q20" i="20"/>
  <c r="AA20" i="20"/>
  <c r="F20" i="20"/>
  <c r="AU20" i="20"/>
  <c r="X20" i="20"/>
  <c r="F17" i="16" l="1"/>
  <c r="BL17" i="16" s="1"/>
  <c r="D18" i="12"/>
  <c r="AM19" i="8"/>
  <c r="AC19" i="8"/>
  <c r="AK19" i="8"/>
  <c r="AA19" i="8"/>
  <c r="AI19" i="8"/>
  <c r="BG12" i="8"/>
  <c r="BE12" i="8"/>
  <c r="C12" i="14"/>
  <c r="K12" i="14" s="1"/>
  <c r="R19" i="8"/>
  <c r="T19" i="8"/>
  <c r="BG10" i="8"/>
  <c r="H9" i="7"/>
  <c r="F17" i="17"/>
  <c r="AQ17" i="17" s="1"/>
  <c r="E12" i="6"/>
  <c r="X12" i="21"/>
  <c r="BL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H17" i="16"/>
  <c r="BG10" i="11"/>
  <c r="BM16" i="11"/>
  <c r="P17" i="17"/>
  <c r="P18" i="17" s="1"/>
  <c r="P19" i="17" s="1"/>
  <c r="BL17" i="11"/>
  <c r="BK12" i="11"/>
  <c r="BF10" i="11"/>
  <c r="BK9" i="11"/>
  <c r="BK15" i="11"/>
  <c r="X9" i="17"/>
  <c r="AP10" i="21"/>
  <c r="BM12" i="11"/>
  <c r="BH9" i="11"/>
  <c r="V9" i="11"/>
  <c r="BJ11" i="11"/>
  <c r="R10" i="21"/>
  <c r="R13" i="21" s="1"/>
  <c r="BI17" i="11"/>
  <c r="V10" i="16"/>
  <c r="L17" i="2"/>
  <c r="BH12" i="16"/>
  <c r="S17" i="17"/>
  <c r="BH11" i="11"/>
  <c r="BJ10" i="11"/>
  <c r="BL10" i="11"/>
  <c r="BF12" i="11"/>
  <c r="S15" i="16"/>
  <c r="X15" i="17"/>
  <c r="AA17" i="16"/>
  <c r="BU16" i="17"/>
  <c r="BV10" i="16"/>
  <c r="BW15" i="20"/>
  <c r="BW16" i="20"/>
  <c r="BW17" i="20"/>
  <c r="BU15" i="17"/>
  <c r="BM15" i="11"/>
  <c r="BL11"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5" i="12" l="1"/>
  <c r="BJ18" i="11"/>
  <c r="J12" i="12"/>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<sst xmlns="http://schemas.openxmlformats.org/spreadsheetml/2006/main" count="2094" uniqueCount="913">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</sst>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N/JmM9k+Hp1yuP4gMhT87CXlLKUkkfVAKLm+fHZG6WSssyOsIokSNpjPW/QjL/z5MVFhXvH3LkPEny337kTmg==" saltValue="IgQmKJ3HSAjTbeWDCSSX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14</v>
      </c>
      <c r="F10" s="229">
        <f>IF(ISNUMBER(Datos!K10),Datos!K10," - ")</f>
        <v>7</v>
      </c>
      <c r="G10" s="1037" t="str">
        <f>IF(Datos!E10&lt;&gt;"",Datos!E10,Datos!D10)</f>
        <v>37</v>
      </c>
      <c r="H10" s="230">
        <f>IF(ISNUMBER(Datos!L10),Datos!L10," - ")</f>
        <v>34</v>
      </c>
      <c r="I10" s="1047" t="str">
        <f>IF(ISNUMBER(Datos!AS10/Datos!BM10),Datos!AS10/Datos!BM10," - ")</f>
        <v xml:space="preserve"> - </v>
      </c>
      <c r="J10" s="1048">
        <f>IF(ISNUMBER(Datos!BY10/Datos!CN10),Datos!BY10/Datos!CN10," - ")</f>
        <v>0</v>
      </c>
      <c r="K10" s="233">
        <f t="shared" ref="K10:K12" si="1">IF(ISNUMBER((E10-F10)/C10),(E10-F10)/C10," - ")</f>
        <v>0.25925925925925924</v>
      </c>
      <c r="L10" s="1028">
        <f>IF(ISNUMBER(NºAsuntos!I10/NºAsuntos!G10),(NºAsuntos!I10/NºAsuntos!G10)*11," - ")</f>
        <v>53.428571428571423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24.244755244755243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14</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1366</v>
      </c>
      <c r="D16" s="228">
        <f>IF(ISNUMBER(IF(D_I="SI",Datos!I16,Datos!I16+Datos!AC16)),IF(D_I="SI",Datos!I16,Datos!I16+Datos!AC16)," - ")</f>
        <v>1366</v>
      </c>
      <c r="E16" s="229">
        <f>IF(ISNUMBER(IF(D_I="SI",Datos!J16,Datos!J16+Datos!AD16)),IF(D_I="SI",Datos!J16,Datos!J16+Datos!AD16)," - ")</f>
        <v>1928</v>
      </c>
      <c r="F16" s="229">
        <f>IF(ISNUMBER(IF(D_I="SI",Datos!K16,Datos!K16+Datos!AE16)),IF(D_I="SI",Datos!K16,Datos!K16+Datos!AE16)," - ")</f>
        <v>1741</v>
      </c>
      <c r="G16" s="1037" t="str">
        <f>IF(Datos!E16&lt;&gt;"",Datos!E16,Datos!D16)</f>
        <v>04</v>
      </c>
      <c r="H16" s="230">
        <f>IF(ISNUMBER(IF(D_I="SI",Datos!L16,Datos!L16+Datos!AF16)),IF(D_I="SI",Datos!L16,Datos!L16+Datos!AF16)," - ")</f>
        <v>1553</v>
      </c>
      <c r="I16" s="1047" t="str">
        <f>IF(ISNUMBER(Datos!AS16/Datos!BM16),Datos!AS16/Datos!BM16," - ")</f>
        <v xml:space="preserve"> - </v>
      </c>
      <c r="J16" s="1048">
        <f>IF(ISNUMBER(Datos!BY16/Datos!CN16),Datos!BY16/Datos!CN16," - ")</f>
        <v>0</v>
      </c>
      <c r="K16" s="233">
        <f t="shared" si="3"/>
        <v>0.13689604685212298</v>
      </c>
      <c r="L16" s="1028">
        <f>IF(ISNUMBER(NºAsuntos!I16/NºAsuntos!G16),(NºAsuntos!I16/NºAsuntos!G16)*11," - ")</f>
        <v>9.8121769098219414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105</v>
      </c>
      <c r="D17" s="228">
        <f>IF(ISNUMBER(IF(D_I="SI",Datos!I17,Datos!I17+Datos!AC17)),IF(D_I="SI",Datos!I17,Datos!I17+Datos!AC17)," - ")</f>
        <v>105</v>
      </c>
      <c r="E17" s="229">
        <f>IF(ISNUMBER(IF(D_I="SI",Datos!J17,Datos!J17+Datos!AD17)),IF(D_I="SI",Datos!J17,Datos!J17+Datos!AD17)," - ")</f>
        <v>34</v>
      </c>
      <c r="F17" s="229">
        <f>IF(ISNUMBER(IF(D_I="SI",Datos!K17,Datos!K17+Datos!AE17)),IF(D_I="SI",Datos!K17,Datos!K17+Datos!AE17)," - ")</f>
        <v>43</v>
      </c>
      <c r="G17" s="1037" t="str">
        <f>IF(Datos!E17&lt;&gt;"",Datos!E17,Datos!D17)</f>
        <v>37</v>
      </c>
      <c r="H17" s="230">
        <f>IF(ISNUMBER(IF(D_I="SI",Datos!L17,Datos!L17+Datos!AF17)),IF(D_I="SI",Datos!L17,Datos!L17+Datos!AF17)," - ")</f>
        <v>96</v>
      </c>
      <c r="I17" s="1047" t="str">
        <f>IF(ISNUMBER(Datos!AS17/Datos!BM17),Datos!AS17/Datos!BM17," - ")</f>
        <v xml:space="preserve"> - </v>
      </c>
      <c r="J17" s="1048" t="str">
        <f>IF(ISNUMBER((Datos!BY17+Datos!BZ17)/Datos!CN17),(Datos!BY17+Datos!BZ17)/Datos!CN17," - ")</f>
        <v xml:space="preserve"> - </v>
      </c>
      <c r="K17" s="233">
        <f t="shared" si="3"/>
        <v>-8.5714285714285715E-2</v>
      </c>
      <c r="L17" s="1028">
        <f>IF(ISNUMBER(NºAsuntos!I17/NºAsuntos!G17),(NºAsuntos!I17/NºAsuntos!G17)*11," - ")</f>
        <v>24.558139534883722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1471</v>
      </c>
      <c r="D18" s="1052">
        <f>SUBTOTAL(9,D15:D17)</f>
        <v>1471</v>
      </c>
      <c r="E18" s="1053">
        <f>SUBTOTAL(9,E15:E17)</f>
        <v>1962</v>
      </c>
      <c r="F18" s="1053">
        <f>SUBTOTAL(9,F15:F17)</f>
        <v>1784</v>
      </c>
      <c r="G18" s="1055" t="str">
        <f ca="1">INDIRECT(CONCATENATE("G",ROW()-1))</f>
        <v>37</v>
      </c>
      <c r="H18" s="1056">
        <f ca="1">SUMIF(G$14:G17,G18,H$14:H17)</f>
        <v>96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1498</v>
      </c>
      <c r="D19" s="1074">
        <f>SUBTOTAL(9,D9:D18)</f>
        <v>1498</v>
      </c>
      <c r="E19" s="1075">
        <f>SUBTOTAL(9,E9:E18)</f>
        <v>1976</v>
      </c>
      <c r="F19" s="1075">
        <f>SUBTOTAL(9,F9:F18)</f>
        <v>1791</v>
      </c>
      <c r="G19" s="1076"/>
      <c r="H19" s="1077">
        <f ca="1">SUMIF(B9:B18,"TOTAL",H9:H18)</f>
        <v>96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32g3ck08V+KfBggG66JYgufc6CAtuRXq5MzGBshYDoKsRu5qbvQdz3wetQtm7lwZ9MF4a6widUs4VbnMG9eSDw==" saltValue="kPUFnf8WxTr+ULvrz6htM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UD2YKd04be+W+jmirhVB3AghdWIxFMVaTBHJPfqh7tf5I5ydokjEfxG3gi9AXBr4QGS8hhcX6JctdEbl4d1R7A==" saltValue="wgnEN36CbQ7JDD29rc9g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27</v>
      </c>
      <c r="J10" s="184">
        <v>14</v>
      </c>
      <c r="K10" s="184">
        <v>7</v>
      </c>
      <c r="L10" s="184">
        <v>34</v>
      </c>
      <c r="M10" s="184">
        <v>6</v>
      </c>
      <c r="N10" s="184">
        <v>1</v>
      </c>
      <c r="O10" s="184">
        <v>0</v>
      </c>
      <c r="P10" s="184">
        <v>0</v>
      </c>
      <c r="Q10" s="184">
        <v>0</v>
      </c>
      <c r="R10" s="184">
        <v>25</v>
      </c>
      <c r="S10" s="184">
        <v>38</v>
      </c>
      <c r="T10" s="184">
        <v>14</v>
      </c>
      <c r="U10" s="184">
        <v>4</v>
      </c>
      <c r="V10" s="184">
        <v>48</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38</v>
      </c>
      <c r="AZ10" s="129">
        <f t="shared" si="0"/>
        <v>14</v>
      </c>
      <c r="BA10" s="129">
        <f t="shared" si="0"/>
        <v>4</v>
      </c>
      <c r="BB10" s="129">
        <f t="shared" si="0"/>
        <v>48</v>
      </c>
      <c r="BC10" s="125">
        <f t="shared" si="0"/>
        <v>2</v>
      </c>
      <c r="BD10" s="126">
        <f>IF(ISNUMBER(BA10/AZ10),BA10/AZ10," - ")</f>
        <v>0.2857142857142857</v>
      </c>
      <c r="BE10" s="127">
        <f>IF(ISNUMBER(BB10/BA10),BB10/BA10, " - ")</f>
        <v>12</v>
      </c>
      <c r="BF10" s="127">
        <f>IF(ISNUMBER(BC10/BA10),BC10/BA10, " - ")</f>
        <v>0.5</v>
      </c>
      <c r="BG10" s="199">
        <f>IF(ISNUMBER((AY10+AZ10)/BA10),(AY10+AZ10)/BA10," - ")</f>
        <v>13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3410</v>
      </c>
      <c r="J12" s="186">
        <v>1147</v>
      </c>
      <c r="K12" s="186">
        <v>1201</v>
      </c>
      <c r="L12" s="186">
        <v>3356</v>
      </c>
      <c r="M12" s="186">
        <v>279</v>
      </c>
      <c r="N12" s="186">
        <v>755</v>
      </c>
      <c r="O12" s="184">
        <v>544</v>
      </c>
      <c r="P12" s="186">
        <v>313</v>
      </c>
      <c r="Q12" s="186">
        <v>154</v>
      </c>
      <c r="R12" s="186">
        <v>5043</v>
      </c>
      <c r="S12" s="186">
        <v>2985</v>
      </c>
      <c r="T12" s="186">
        <v>1277</v>
      </c>
      <c r="U12" s="186">
        <v>1161</v>
      </c>
      <c r="V12" s="186">
        <v>3101</v>
      </c>
      <c r="W12" s="186">
        <v>261</v>
      </c>
      <c r="X12" s="192">
        <v>783</v>
      </c>
      <c r="Y12" s="194">
        <v>107</v>
      </c>
      <c r="Z12" s="184">
        <v>376</v>
      </c>
      <c r="AA12" s="184">
        <v>372</v>
      </c>
      <c r="AB12" s="184">
        <v>111</v>
      </c>
      <c r="AC12" s="186">
        <v>0</v>
      </c>
      <c r="AD12" s="186">
        <v>0</v>
      </c>
      <c r="AE12" s="186">
        <v>0</v>
      </c>
      <c r="AF12" s="192">
        <v>0</v>
      </c>
      <c r="AG12" s="205">
        <v>87</v>
      </c>
      <c r="AH12" s="186">
        <v>408</v>
      </c>
      <c r="AI12" s="186">
        <v>368</v>
      </c>
      <c r="AJ12" s="206">
        <v>127</v>
      </c>
      <c r="AK12" s="185">
        <v>0</v>
      </c>
      <c r="AL12" s="186">
        <v>0</v>
      </c>
      <c r="AM12" s="186">
        <v>0</v>
      </c>
      <c r="AN12" s="192">
        <v>0</v>
      </c>
      <c r="AO12" s="262">
        <v>6</v>
      </c>
      <c r="AP12" s="158">
        <v>6</v>
      </c>
      <c r="AQ12" s="158">
        <v>6</v>
      </c>
      <c r="AR12" s="157">
        <v>6</v>
      </c>
      <c r="AS12" s="343" t="s">
        <v>807</v>
      </c>
      <c r="AT12" s="206"/>
      <c r="AU12" s="205"/>
      <c r="AV12" s="206"/>
      <c r="AW12" s="205"/>
      <c r="AX12" s="206"/>
      <c r="AY12" s="126">
        <f t="shared" si="1"/>
        <v>3072</v>
      </c>
      <c r="AZ12" s="127">
        <f t="shared" si="1"/>
        <v>1685</v>
      </c>
      <c r="BA12" s="127">
        <f t="shared" si="1"/>
        <v>1529</v>
      </c>
      <c r="BB12" s="127">
        <f t="shared" si="1"/>
        <v>3228</v>
      </c>
      <c r="BC12" s="125">
        <f>IF(ISNUMBER(X12),X12," - ")</f>
        <v>783</v>
      </c>
      <c r="BD12" s="126">
        <f t="shared" si="2"/>
        <v>0.90741839762611276</v>
      </c>
      <c r="BE12" s="127">
        <f t="shared" si="3"/>
        <v>2.1111837802485285</v>
      </c>
      <c r="BF12" s="127">
        <f t="shared" si="4"/>
        <v>0.51209941137998694</v>
      </c>
      <c r="BG12" s="199">
        <f t="shared" si="5"/>
        <v>3.1111837802485285</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3437</v>
      </c>
      <c r="J13" s="187">
        <f t="shared" si="6"/>
        <v>1161</v>
      </c>
      <c r="K13" s="187">
        <f t="shared" si="6"/>
        <v>1208</v>
      </c>
      <c r="L13" s="187">
        <f t="shared" si="6"/>
        <v>3390</v>
      </c>
      <c r="M13" s="187">
        <f t="shared" si="6"/>
        <v>285</v>
      </c>
      <c r="N13" s="187">
        <f t="shared" si="6"/>
        <v>756</v>
      </c>
      <c r="O13" s="187">
        <f t="shared" si="6"/>
        <v>544</v>
      </c>
      <c r="P13" s="187">
        <f t="shared" si="6"/>
        <v>313</v>
      </c>
      <c r="Q13" s="187">
        <f t="shared" si="6"/>
        <v>154</v>
      </c>
      <c r="R13" s="187">
        <f t="shared" si="6"/>
        <v>5068</v>
      </c>
      <c r="S13" s="187">
        <f t="shared" si="6"/>
        <v>3023</v>
      </c>
      <c r="T13" s="187">
        <f t="shared" si="6"/>
        <v>1291</v>
      </c>
      <c r="U13" s="187">
        <f t="shared" si="6"/>
        <v>1165</v>
      </c>
      <c r="V13" s="187">
        <f t="shared" si="6"/>
        <v>3149</v>
      </c>
      <c r="W13" s="187">
        <f t="shared" si="6"/>
        <v>263</v>
      </c>
      <c r="X13" s="187">
        <f t="shared" si="6"/>
        <v>783</v>
      </c>
      <c r="Y13" s="187">
        <f t="shared" si="6"/>
        <v>107</v>
      </c>
      <c r="Z13" s="187">
        <f t="shared" si="6"/>
        <v>376</v>
      </c>
      <c r="AA13" s="187">
        <f t="shared" si="6"/>
        <v>372</v>
      </c>
      <c r="AB13" s="187">
        <f t="shared" si="6"/>
        <v>111</v>
      </c>
      <c r="AC13" s="187">
        <f t="shared" si="6"/>
        <v>0</v>
      </c>
      <c r="AD13" s="187">
        <f t="shared" si="6"/>
        <v>0</v>
      </c>
      <c r="AE13" s="187">
        <f t="shared" si="6"/>
        <v>0</v>
      </c>
      <c r="AF13" s="187">
        <f>SUBTOTAL(9,AF9:AF12)</f>
        <v>0</v>
      </c>
      <c r="AG13" s="187">
        <f t="shared" ref="AG13:AT13" si="7">SUBTOTAL(9,AG8:AG12)</f>
        <v>87</v>
      </c>
      <c r="AH13" s="187">
        <f t="shared" si="7"/>
        <v>408</v>
      </c>
      <c r="AI13" s="187">
        <f t="shared" si="7"/>
        <v>368</v>
      </c>
      <c r="AJ13" s="187">
        <f t="shared" si="7"/>
        <v>127</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3110</v>
      </c>
      <c r="AZ13" s="187">
        <f>SUBTOTAL(9,AZ8:AZ12)</f>
        <v>1699</v>
      </c>
      <c r="BA13" s="187">
        <f>SUBTOTAL(9,BA8:BA12)</f>
        <v>1533</v>
      </c>
      <c r="BB13" s="187">
        <f>SUBTOTAL(9,BB8:BB12)</f>
        <v>3276</v>
      </c>
      <c r="BC13" s="187">
        <f>SUBTOTAL(9,BC8:BC12)</f>
        <v>785</v>
      </c>
      <c r="BD13" s="208">
        <f>IF(ISNUMBER(BA13/AZ13),BA13/AZ13," - ")</f>
        <v>0.90229546792230719</v>
      </c>
      <c r="BE13" s="209">
        <f>IF(ISNUMBER(BB13/BA13),BB13/BA13, " - ")</f>
        <v>2.1369863013698631</v>
      </c>
      <c r="BF13" s="209">
        <f>IF(ISNUMBER(BC13/BA13),BC13/BA13, " - ")</f>
        <v>0.51206784083496415</v>
      </c>
      <c r="BG13" s="210">
        <f>IF(ISNUMBER((AY13+AZ13)/BA13),(AY13+AZ13)/BA13," - ")</f>
        <v>3.1369863013698631</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1366</v>
      </c>
      <c r="J16" s="186">
        <v>1928</v>
      </c>
      <c r="K16" s="186">
        <v>1741</v>
      </c>
      <c r="L16" s="186">
        <v>1553</v>
      </c>
      <c r="M16" s="186">
        <v>169</v>
      </c>
      <c r="N16" s="186">
        <v>1251</v>
      </c>
      <c r="O16" s="184">
        <v>0</v>
      </c>
      <c r="P16" s="186">
        <v>44</v>
      </c>
      <c r="Q16" s="186">
        <v>37</v>
      </c>
      <c r="R16" s="186">
        <v>475</v>
      </c>
      <c r="S16" s="186">
        <v>1059</v>
      </c>
      <c r="T16" s="186">
        <v>1603</v>
      </c>
      <c r="U16" s="186">
        <v>1612</v>
      </c>
      <c r="V16" s="186">
        <v>1055</v>
      </c>
      <c r="W16" s="186">
        <v>184</v>
      </c>
      <c r="X16" s="192">
        <v>1186</v>
      </c>
      <c r="Y16" s="205">
        <v>0</v>
      </c>
      <c r="Z16" s="186">
        <v>0</v>
      </c>
      <c r="AA16" s="186">
        <v>0</v>
      </c>
      <c r="AB16" s="186">
        <v>0</v>
      </c>
      <c r="AC16" s="186">
        <v>2</v>
      </c>
      <c r="AD16" s="186">
        <v>0</v>
      </c>
      <c r="AE16" s="186">
        <v>0</v>
      </c>
      <c r="AF16" s="192">
        <v>2</v>
      </c>
      <c r="AG16" s="205">
        <v>0</v>
      </c>
      <c r="AH16" s="186">
        <v>0</v>
      </c>
      <c r="AI16" s="186">
        <v>0</v>
      </c>
      <c r="AJ16" s="206">
        <v>0</v>
      </c>
      <c r="AK16" s="185">
        <v>0</v>
      </c>
      <c r="AL16" s="186">
        <v>0</v>
      </c>
      <c r="AM16" s="186">
        <v>0</v>
      </c>
      <c r="AN16" s="192">
        <v>0</v>
      </c>
      <c r="AO16" s="262">
        <v>6</v>
      </c>
      <c r="AP16" s="158">
        <v>6</v>
      </c>
      <c r="AQ16" s="158">
        <v>6</v>
      </c>
      <c r="AR16" s="158">
        <v>6</v>
      </c>
      <c r="AS16" s="343" t="s">
        <v>491</v>
      </c>
      <c r="AT16" s="206"/>
      <c r="AU16" s="205"/>
      <c r="AV16" s="206"/>
      <c r="AW16" s="205"/>
      <c r="AX16" s="206"/>
      <c r="AY16" s="126">
        <f t="shared" si="9"/>
        <v>1059</v>
      </c>
      <c r="AZ16" s="127">
        <f t="shared" si="9"/>
        <v>1603</v>
      </c>
      <c r="BA16" s="127">
        <f t="shared" si="9"/>
        <v>1612</v>
      </c>
      <c r="BB16" s="127">
        <f t="shared" si="9"/>
        <v>1055</v>
      </c>
      <c r="BC16" s="125">
        <f>IF(ISNUMBER(W16),W16," - ")</f>
        <v>184</v>
      </c>
      <c r="BD16" s="126">
        <f t="shared" ref="BD16" si="11">IF(ISNUMBER(BA16/AZ16),BA16/AZ16," - ")</f>
        <v>1.0056144728633811</v>
      </c>
      <c r="BE16" s="127">
        <f t="shared" ref="BE16" si="12">IF(ISNUMBER(BB16/BA16),BB16/BA16, " - ")</f>
        <v>0.65446650124069483</v>
      </c>
      <c r="BF16" s="127">
        <f t="shared" ref="BF16" si="13">IF(ISNUMBER(BC16/BA16),BC16/BA16, " - ")</f>
        <v>0.11414392059553349</v>
      </c>
      <c r="BG16" s="199">
        <f t="shared" si="10"/>
        <v>1.6513647642679901</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105</v>
      </c>
      <c r="J17" s="186">
        <v>34</v>
      </c>
      <c r="K17" s="186">
        <v>43</v>
      </c>
      <c r="L17" s="186">
        <v>96</v>
      </c>
      <c r="M17" s="186">
        <v>4</v>
      </c>
      <c r="N17" s="186">
        <v>41</v>
      </c>
      <c r="O17" s="186">
        <v>0</v>
      </c>
      <c r="P17" s="186">
        <v>0</v>
      </c>
      <c r="Q17" s="186">
        <v>0</v>
      </c>
      <c r="R17" s="186">
        <v>5</v>
      </c>
      <c r="S17" s="186">
        <v>86</v>
      </c>
      <c r="T17" s="186">
        <v>78</v>
      </c>
      <c r="U17" s="186">
        <v>64</v>
      </c>
      <c r="V17" s="186">
        <v>100</v>
      </c>
      <c r="W17" s="186">
        <v>3</v>
      </c>
      <c r="X17" s="192">
        <v>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86</v>
      </c>
      <c r="AZ17" s="129">
        <f t="shared" si="14"/>
        <v>78</v>
      </c>
      <c r="BA17" s="129">
        <f t="shared" si="14"/>
        <v>64</v>
      </c>
      <c r="BB17" s="129">
        <f t="shared" si="14"/>
        <v>100</v>
      </c>
      <c r="BC17" s="125">
        <f>IF(ISNUMBER(W17),W17," - ")</f>
        <v>3</v>
      </c>
      <c r="BD17" s="126">
        <f>IF(ISNUMBER(BA17/AZ17),BA17/AZ17," - ")</f>
        <v>0.82051282051282048</v>
      </c>
      <c r="BE17" s="127">
        <f>IF(ISNUMBER(BB17/BA17),BB17/BA17, " - ")</f>
        <v>1.5625</v>
      </c>
      <c r="BF17" s="127">
        <f>IF(ISNUMBER(BC17/BA17),BC17/BA17, " - ")</f>
        <v>4.6875E-2</v>
      </c>
      <c r="BG17" s="199">
        <f>IF(ISNUMBER((AY17+AZ17)/BA17),(AY17+AZ17)/BA17," - ")</f>
        <v>2.5625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1471</v>
      </c>
      <c r="J18" s="187">
        <f t="shared" si="15"/>
        <v>1962</v>
      </c>
      <c r="K18" s="187">
        <f t="shared" si="15"/>
        <v>1784</v>
      </c>
      <c r="L18" s="187">
        <f t="shared" si="15"/>
        <v>1649</v>
      </c>
      <c r="M18" s="187">
        <f t="shared" si="15"/>
        <v>173</v>
      </c>
      <c r="N18" s="187">
        <f t="shared" si="15"/>
        <v>1292</v>
      </c>
      <c r="O18" s="187">
        <f t="shared" si="15"/>
        <v>0</v>
      </c>
      <c r="P18" s="187">
        <f t="shared" si="15"/>
        <v>44</v>
      </c>
      <c r="Q18" s="187">
        <f t="shared" si="15"/>
        <v>37</v>
      </c>
      <c r="R18" s="187">
        <f t="shared" si="15"/>
        <v>480</v>
      </c>
      <c r="S18" s="187">
        <f t="shared" si="15"/>
        <v>1145</v>
      </c>
      <c r="T18" s="187">
        <f t="shared" si="15"/>
        <v>1681</v>
      </c>
      <c r="U18" s="187">
        <f t="shared" si="15"/>
        <v>1676</v>
      </c>
      <c r="V18" s="187">
        <f t="shared" si="15"/>
        <v>1155</v>
      </c>
      <c r="W18" s="187">
        <f t="shared" si="15"/>
        <v>187</v>
      </c>
      <c r="X18" s="187">
        <f t="shared" si="15"/>
        <v>1258</v>
      </c>
      <c r="Y18" s="187">
        <f t="shared" si="15"/>
        <v>0</v>
      </c>
      <c r="Z18" s="187">
        <f t="shared" si="15"/>
        <v>0</v>
      </c>
      <c r="AA18" s="187">
        <f t="shared" si="15"/>
        <v>0</v>
      </c>
      <c r="AB18" s="187">
        <f t="shared" si="15"/>
        <v>0</v>
      </c>
      <c r="AC18" s="187">
        <f t="shared" si="15"/>
        <v>2</v>
      </c>
      <c r="AD18" s="187">
        <f t="shared" si="15"/>
        <v>0</v>
      </c>
      <c r="AE18" s="187">
        <f t="shared" si="15"/>
        <v>0</v>
      </c>
      <c r="AF18" s="187">
        <f t="shared" si="15"/>
        <v>2</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1145</v>
      </c>
      <c r="AZ18" s="187">
        <f>SUBTOTAL(9,AZ14:AZ17)</f>
        <v>1681</v>
      </c>
      <c r="BA18" s="187">
        <f>SUBTOTAL(9,BA14:BA17)</f>
        <v>1676</v>
      </c>
      <c r="BB18" s="187">
        <f>SUBTOTAL(9,BB14:BB17)</f>
        <v>1155</v>
      </c>
      <c r="BC18" s="187">
        <f>SUBTOTAL(9,BC14:BC17)</f>
        <v>187</v>
      </c>
      <c r="BD18" s="208">
        <f>IF(ISNUMBER(BA18/AZ18),BA18/AZ18," - ")</f>
        <v>0.99702558001189767</v>
      </c>
      <c r="BE18" s="209">
        <f>IF(ISNUMBER(BB18/BA18),BB18/BA18, " - ")</f>
        <v>0.68914081145584727</v>
      </c>
      <c r="BF18" s="209">
        <f>IF(ISNUMBER(BC18/BA18),BC18/BA18, " - ")</f>
        <v>0.11157517899761336</v>
      </c>
      <c r="BG18" s="210">
        <f>IF(ISNUMBER((AY18+AZ18)/BA18),(AY18+AZ18)/BA18," - ")</f>
        <v>1.6861575178997614</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4908</v>
      </c>
      <c r="J19" s="134">
        <f t="shared" si="18"/>
        <v>3123</v>
      </c>
      <c r="K19" s="134">
        <f t="shared" si="18"/>
        <v>2992</v>
      </c>
      <c r="L19" s="134">
        <f t="shared" si="18"/>
        <v>5039</v>
      </c>
      <c r="M19" s="134">
        <f t="shared" si="18"/>
        <v>458</v>
      </c>
      <c r="N19" s="134">
        <f t="shared" si="18"/>
        <v>2048</v>
      </c>
      <c r="O19" s="134">
        <f t="shared" si="18"/>
        <v>544</v>
      </c>
      <c r="P19" s="134">
        <f t="shared" si="18"/>
        <v>357</v>
      </c>
      <c r="Q19" s="134">
        <f t="shared" si="18"/>
        <v>191</v>
      </c>
      <c r="R19" s="134">
        <f t="shared" si="18"/>
        <v>5548</v>
      </c>
      <c r="S19" s="134">
        <f t="shared" si="18"/>
        <v>4168</v>
      </c>
      <c r="T19" s="134">
        <f t="shared" si="18"/>
        <v>2972</v>
      </c>
      <c r="U19" s="134">
        <f t="shared" si="18"/>
        <v>2841</v>
      </c>
      <c r="V19" s="134">
        <f t="shared" si="18"/>
        <v>4304</v>
      </c>
      <c r="W19" s="134">
        <f t="shared" si="18"/>
        <v>450</v>
      </c>
      <c r="X19" s="134">
        <f t="shared" si="18"/>
        <v>2041</v>
      </c>
      <c r="Y19" s="134">
        <f t="shared" si="18"/>
        <v>107</v>
      </c>
      <c r="Z19" s="134">
        <f t="shared" si="18"/>
        <v>376</v>
      </c>
      <c r="AA19" s="134">
        <f t="shared" si="18"/>
        <v>372</v>
      </c>
      <c r="AB19" s="134">
        <f t="shared" si="18"/>
        <v>111</v>
      </c>
      <c r="AC19" s="134">
        <f t="shared" si="18"/>
        <v>2</v>
      </c>
      <c r="AD19" s="134">
        <f t="shared" si="18"/>
        <v>0</v>
      </c>
      <c r="AE19" s="134">
        <f t="shared" si="18"/>
        <v>0</v>
      </c>
      <c r="AF19" s="134">
        <f t="shared" si="18"/>
        <v>2</v>
      </c>
      <c r="AG19" s="134">
        <f t="shared" si="18"/>
        <v>87</v>
      </c>
      <c r="AH19" s="134">
        <f t="shared" si="18"/>
        <v>408</v>
      </c>
      <c r="AI19" s="134">
        <f t="shared" si="18"/>
        <v>368</v>
      </c>
      <c r="AJ19" s="134">
        <f t="shared" si="18"/>
        <v>127</v>
      </c>
      <c r="AK19" s="134">
        <f t="shared" si="18"/>
        <v>0</v>
      </c>
      <c r="AL19" s="134">
        <f t="shared" si="18"/>
        <v>0</v>
      </c>
      <c r="AM19" s="134">
        <f t="shared" si="18"/>
        <v>0</v>
      </c>
      <c r="AN19" s="213">
        <f t="shared" si="18"/>
        <v>0</v>
      </c>
      <c r="AO19" s="214">
        <v>7</v>
      </c>
      <c r="AP19" s="214">
        <v>6</v>
      </c>
      <c r="AQ19" s="214">
        <v>6</v>
      </c>
      <c r="AR19" s="214">
        <v>6</v>
      </c>
      <c r="AS19" s="156">
        <f t="shared" si="18"/>
        <v>0</v>
      </c>
      <c r="AT19" s="156">
        <f t="shared" si="18"/>
        <v>0</v>
      </c>
      <c r="AU19" s="214"/>
      <c r="AV19" s="215"/>
      <c r="AW19" s="214"/>
      <c r="AX19" s="215"/>
      <c r="AY19" s="133">
        <f>SUBTOTAL(9,AY9:AY18)</f>
        <v>4255</v>
      </c>
      <c r="AZ19" s="134">
        <f>SUBTOTAL(9,AZ9:AZ18)</f>
        <v>3380</v>
      </c>
      <c r="BA19" s="134">
        <f>SUBTOTAL(9,BA9:BA18)</f>
        <v>3209</v>
      </c>
      <c r="BB19" s="134">
        <f>SUBTOTAL(9,BB9:BB18)</f>
        <v>4431</v>
      </c>
      <c r="BC19" s="135">
        <f>SUBTOTAL(9,BC9:BC18)</f>
        <v>972</v>
      </c>
      <c r="BD19" s="216">
        <f>IF(ISNUMBER(BA19/AZ19),BA19/AZ19," - ")</f>
        <v>0.94940828402366861</v>
      </c>
      <c r="BE19" s="213">
        <f>IF(ISNUMBER(BB19/BA19),BB19/BA19, " - ")</f>
        <v>1.380803988781552</v>
      </c>
      <c r="BF19" s="213">
        <f>IF(ISNUMBER(BC19/BA19),BC19/BA19, " - ")</f>
        <v>0.30289809909629167</v>
      </c>
      <c r="BG19" s="135">
        <f>IF(ISNUMBER((AY19+AZ19)/BA19),(AY19+AZ19)/BA19," - ")</f>
        <v>2.3792458709878468</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SXHwpXhLSbW3TCkk0hoJdd5Tj1bE+0MNI18go2Ga/pPCHfafib1q4ljTbFAht52fbKgLbCPZ7HBRENaeJRIw==" saltValue="NVuZ2efJHwBO83w1os7S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vY4LPbVThmP7Lbnz214Gl4UpCxJ66rsia5+NOacAf5N0Jjun28v09O3pRaw7nlnSfXB2Kawf+oUGd9+t0jHsQ==" saltValue="nCaK/9GJDNqRgaDslAk7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SANT BOI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34</v>
      </c>
      <c r="AG10" s="337"/>
      <c r="AH10" s="337"/>
      <c r="AI10" s="337"/>
      <c r="AJ10" s="337"/>
      <c r="AK10" s="337"/>
      <c r="AL10" s="482"/>
      <c r="AM10" s="338">
        <f>IF(ISNUMBER(Datos!R10),Datos!R10," - ")</f>
        <v>25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14.571428571428571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376</v>
      </c>
      <c r="O12" s="337"/>
      <c r="P12" s="337"/>
      <c r="Q12" s="229">
        <f>IF(ISNUMBER(Datos!P12),Datos!P12,0)</f>
        <v>313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111</v>
      </c>
      <c r="AI12" s="337" t="str">
        <f>IF(ISNUMBER(Datos!CD12),Datos!CD12,"-")</f>
        <v>-</v>
      </c>
      <c r="AJ12" s="337" t="str">
        <f>IF(ISNUMBER(Datos!EN12),Datos!EN12," - ")</f>
        <v xml:space="preserve"> - </v>
      </c>
      <c r="AK12" s="337"/>
      <c r="AL12" s="482"/>
      <c r="AM12" s="338">
        <f>IF(ISNUMBER(Datos!R12),Datos!R12," - ")</f>
        <v>5043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279</v>
      </c>
      <c r="BD12" s="232">
        <f>IF(ISNUMBER(Datos!N12),Datos!N12," - ")</f>
        <v>755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1.0328299409061064</v>
      </c>
      <c r="BH12" s="263">
        <f>IF(ISNUMBER(((IF(J_V="SI",Datos!L12/Datos!K12,(Datos!L12+Datos!AB12)/(Datos!K12+Datos!AA12)))*11)/factor_trimestre),((IF(J_V="SI",Datos!L12/Datos!K12,(Datos!L12+Datos!AB12)/(Datos!K12+Datos!AA12)))*11)/factor_trimestre," - ")</f>
        <v>6.6122059758423397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3.2555282555282554E-2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376</v>
      </c>
      <c r="O13" s="903">
        <f t="shared" si="0"/>
        <v>0</v>
      </c>
      <c r="P13" s="903">
        <f t="shared" si="0"/>
        <v>0</v>
      </c>
      <c r="Q13" s="902">
        <f t="shared" si="0"/>
        <v>313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154</v>
      </c>
      <c r="AD13" s="902">
        <f t="shared" si="1"/>
        <v>0</v>
      </c>
      <c r="AE13" s="902">
        <f t="shared" si="1"/>
        <v>0</v>
      </c>
      <c r="AF13" s="902">
        <f t="shared" si="1"/>
        <v>34</v>
      </c>
      <c r="AG13" s="902">
        <f t="shared" si="1"/>
        <v>0</v>
      </c>
      <c r="AH13" s="902">
        <f t="shared" si="1"/>
        <v>111</v>
      </c>
      <c r="AI13" s="902">
        <f t="shared" si="1"/>
        <v>0</v>
      </c>
      <c r="AJ13" s="902">
        <f t="shared" si="1"/>
        <v>0</v>
      </c>
      <c r="AK13" s="902">
        <f t="shared" si="1"/>
        <v>0</v>
      </c>
      <c r="AL13" s="902">
        <f t="shared" si="1"/>
        <v>0</v>
      </c>
      <c r="AM13" s="902">
        <f t="shared" si="1"/>
        <v>5068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285</v>
      </c>
      <c r="BD13" s="902">
        <f t="shared" si="1"/>
        <v>756</v>
      </c>
      <c r="BE13" s="902">
        <f t="shared" si="1"/>
        <v>0</v>
      </c>
      <c r="BF13" s="902">
        <f t="shared" si="1"/>
        <v>0</v>
      </c>
      <c r="BG13" s="902">
        <f>IF(ISNUMBER(Datos!K13/Datos!J13),Datos!K13/Datos!J13," - ")</f>
        <v>1.0404823428079242</v>
      </c>
      <c r="BH13" s="906">
        <f>IF(ISNUMBER(((Datos!L13/Datos!K13)*11)/factor_trimestre),((Datos!L13/Datos!K13)*11)/factor_trimestre," - ")</f>
        <v>8.418874172185431</v>
      </c>
      <c r="BI13" s="902">
        <f>IF(ISNUMBER('Resol  Asuntos'!D13/NºAsuntos!G13),'Resol  Asuntos'!D13/NºAsuntos!G13," - ")</f>
        <v>0.18037974683544303</v>
      </c>
      <c r="BJ13" s="902" t="str">
        <f>IF(ISNUMBER(Datos!CI13/Datos!CJ13),Datos!CI13/Datos!CJ13," - ")</f>
        <v xml:space="preserve"> - </v>
      </c>
      <c r="BK13" s="902">
        <f>SUBTOTAL(9,BK8:BK12)</f>
        <v>0</v>
      </c>
      <c r="BL13" s="902">
        <f>IF(ISNUMBER((I13-AB13+L13)/(F13)),(I13-AB13+L13)/(F13)," - ")</f>
        <v>-0.25925925925925924</v>
      </c>
      <c r="BM13" s="907">
        <f>SUBTOTAL(9,BM9:BM12)</f>
        <v>3.2555282555282554E-2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1366</v>
      </c>
      <c r="G16" s="601">
        <f>IF(ISNUMBER(IF(D_I="SI",Datos!I16,Datos!I16+Datos!AC16)),IF(D_I="SI",Datos!I16,Datos!I16+Datos!AC16)," - ")</f>
        <v>1366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1741</v>
      </c>
      <c r="AC16" s="229">
        <f>IF(ISNUMBER(Datos!Q16),Datos!Q16," - ")</f>
        <v>37</v>
      </c>
      <c r="AD16" s="337"/>
      <c r="AE16" s="487"/>
      <c r="AF16" s="599">
        <f>IF(ISNUMBER(IF(D_I="SI",Datos!L16,Datos!L16+Datos!AF16)),IF(D_I="SI",Datos!L16,Datos!L16+Datos!AF16)," - ")</f>
        <v>1553</v>
      </c>
      <c r="AG16" s="337"/>
      <c r="AH16" s="337"/>
      <c r="AI16" s="337"/>
      <c r="AJ16" s="337"/>
      <c r="AK16" s="337"/>
      <c r="AL16" s="482"/>
      <c r="AM16" s="338">
        <f>IF(ISNUMBER(Datos!R16),Datos!R16," - ")</f>
        <v>475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169</v>
      </c>
      <c r="BD16" s="232">
        <f>IF(ISNUMBER(Datos!N16),Datos!N16," - ")</f>
        <v>1251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0.90300829875518673</v>
      </c>
      <c r="BH16" s="263">
        <f>IF(ISNUMBER(((IF(D_I="SI",Datos!L16/Datos!K16,(Datos!L16+Datos!AF16)/(Datos!K16+Datos!AE16)))*11)/factor_trimestre),((IF(D_I="SI",Datos!L16/Datos!K16,(Datos!L16+Datos!AF16)/(Datos!K16+Datos!AE16)))*11)/factor_trimestre," - ")</f>
        <v>2.6760482481332568</v>
      </c>
      <c r="BI16" s="246">
        <f>IF(ISNUMBER('Resol  Asuntos'!D16/NºAsuntos!G16),'Resol  Asuntos'!D16/NºAsuntos!G16," - ")</f>
        <v>9.7070649052268809E-2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v>
      </c>
      <c r="AC17" s="229">
        <f>IF(ISNUMBER(Datos!Q17),Datos!Q17," - ")</f>
        <v>0</v>
      </c>
      <c r="AD17" s="337"/>
      <c r="AE17" s="487"/>
      <c r="AF17" s="335">
        <f>IF(ISNUMBER(Datos!L17),Datos!L17,"-")</f>
        <v>96</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1.2647058823529411</v>
      </c>
      <c r="BH17" s="263">
        <f>IF(ISNUMBER(((IF(D_I="SI",Datos!L17/Datos!K17,(Datos!L17+Datos!AF17)/(Datos!K17+Datos!AE17)))*11)/factor_trimestre),((IF(D_I="SI",Datos!L17/Datos!K17,(Datos!L17+Datos!AF17)/(Datos!K17+Datos!AE17)))*11)/factor_trimestre," - ")</f>
        <v>6.6976744186046515</v>
      </c>
      <c r="BI17" s="246">
        <f>IF(ISNUMBER('Resol  Asuntos'!D17/NºAsuntos!G17),'Resol  Asuntos'!D17/NºAsuntos!G17," - ")</f>
        <v>9.3023255813953487E-2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1366</v>
      </c>
      <c r="G18" s="901">
        <f>SUBTOTAL(9,G15:G17)</f>
        <v>1471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1784</v>
      </c>
      <c r="AC18" s="902">
        <f t="shared" si="4"/>
        <v>37</v>
      </c>
      <c r="AD18" s="902">
        <f t="shared" si="4"/>
        <v>0</v>
      </c>
      <c r="AE18" s="902">
        <f t="shared" si="4"/>
        <v>0</v>
      </c>
      <c r="AF18" s="902">
        <f t="shared" si="4"/>
        <v>1649</v>
      </c>
      <c r="AG18" s="902">
        <f t="shared" si="4"/>
        <v>0</v>
      </c>
      <c r="AH18" s="902">
        <f t="shared" si="4"/>
        <v>0</v>
      </c>
      <c r="AI18" s="902">
        <f t="shared" si="4"/>
        <v>0</v>
      </c>
      <c r="AJ18" s="902">
        <f t="shared" si="4"/>
        <v>0</v>
      </c>
      <c r="AK18" s="902">
        <f t="shared" si="4"/>
        <v>0</v>
      </c>
      <c r="AL18" s="902">
        <f t="shared" si="4"/>
        <v>0</v>
      </c>
      <c r="AM18" s="902">
        <f t="shared" si="4"/>
        <v>480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173</v>
      </c>
      <c r="BD18" s="902">
        <f t="shared" si="4"/>
        <v>1292</v>
      </c>
      <c r="BE18" s="902">
        <f t="shared" si="4"/>
        <v>0</v>
      </c>
      <c r="BF18" s="902">
        <f t="shared" si="4"/>
        <v>0</v>
      </c>
      <c r="BG18" s="902">
        <f>IF(ISNUMBER(Datos!K18/Datos!J18),Datos!K18/Datos!J18," - ")</f>
        <v>0.90927624872579005</v>
      </c>
      <c r="BH18" s="906">
        <f>IF(ISNUMBER(((Datos!L18/Datos!K18)*11)/factor_trimestre),((Datos!L18/Datos!K18)*11)/factor_trimestre," - ")</f>
        <v>2.7729820627802693</v>
      </c>
      <c r="BI18" s="902">
        <f>SUBTOTAL(9,BI15:BI17)</f>
        <v>0.1900939048662223</v>
      </c>
      <c r="BJ18" s="902">
        <f>SUBTOTAL(9,BJ15:BJ17)</f>
        <v>0</v>
      </c>
      <c r="BK18" s="902">
        <f>SUBTOTAL(9,BK15:BK17)</f>
        <v>0</v>
      </c>
      <c r="BL18" s="902">
        <f>IF(ISNUMBER((I18-AB18+L18)/(F18)),(I18-AB18+L18)/(F18)," - ")</f>
        <v>-1.3060029282576866</v>
      </c>
      <c r="BM18" s="908">
        <f>IF(ISNUMBER((Datos!P18-Datos!Q18)/(Datos!R18-Datos!P18+Datos!Q18)),(Datos!P18-Datos!Q18)/(Datos!R18-Datos!P18+Datos!Q18)," - ")</f>
        <v>1.4799154334038054E-2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1393</v>
      </c>
      <c r="G19" s="823">
        <f t="shared" si="6"/>
        <v>1498</v>
      </c>
      <c r="H19" s="825">
        <f t="shared" si="6"/>
        <v>0</v>
      </c>
      <c r="I19" s="823">
        <f t="shared" si="6"/>
        <v>0</v>
      </c>
      <c r="J19" s="825">
        <f t="shared" si="6"/>
        <v>0</v>
      </c>
      <c r="K19" s="825">
        <f t="shared" si="6"/>
        <v>0</v>
      </c>
      <c r="L19" s="884">
        <f t="shared" si="6"/>
        <v>0</v>
      </c>
      <c r="M19" s="884">
        <f t="shared" si="6"/>
        <v>0</v>
      </c>
      <c r="N19" s="884">
        <f t="shared" si="6"/>
        <v>376</v>
      </c>
      <c r="O19" s="884">
        <f t="shared" si="6"/>
        <v>0</v>
      </c>
      <c r="P19" s="884">
        <f t="shared" si="6"/>
        <v>0</v>
      </c>
      <c r="Q19" s="825">
        <f t="shared" si="6"/>
        <v>357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1791</v>
      </c>
      <c r="AC19" s="824">
        <f t="shared" si="7"/>
        <v>191</v>
      </c>
      <c r="AD19" s="824">
        <f t="shared" si="7"/>
        <v>0</v>
      </c>
      <c r="AE19" s="824">
        <f t="shared" si="7"/>
        <v>0</v>
      </c>
      <c r="AF19" s="831">
        <f t="shared" si="7"/>
        <v>1683</v>
      </c>
      <c r="AG19" s="831">
        <f t="shared" si="7"/>
        <v>0</v>
      </c>
      <c r="AH19" s="831">
        <f t="shared" si="7"/>
        <v>111</v>
      </c>
      <c r="AI19" s="831">
        <f t="shared" si="7"/>
        <v>0</v>
      </c>
      <c r="AJ19" s="824">
        <f t="shared" si="7"/>
        <v>0</v>
      </c>
      <c r="AK19" s="831">
        <f t="shared" si="7"/>
        <v>0</v>
      </c>
      <c r="AL19" s="831">
        <f t="shared" si="7"/>
        <v>0</v>
      </c>
      <c r="AM19" s="831">
        <f t="shared" si="7"/>
        <v>5548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458</v>
      </c>
      <c r="BD19" s="823">
        <f t="shared" si="7"/>
        <v>2048</v>
      </c>
      <c r="BE19" s="823">
        <f t="shared" si="7"/>
        <v>0</v>
      </c>
      <c r="BF19" s="833">
        <f t="shared" si="7"/>
        <v>0</v>
      </c>
      <c r="BG19" s="918">
        <f>IF(ISNUMBER(Datos!K19/Datos!J19),Datos!K19/Datos!J19," - ")</f>
        <v>0.95805315401857194</v>
      </c>
      <c r="BH19" s="918">
        <f>IF(ISNUMBER(((Datos!L19/Datos!K19)*11)/factor_trimestre),((Datos!L19/Datos!K19)*11)/factor_trimestre," - ")</f>
        <v>5.0524732620320849</v>
      </c>
      <c r="BI19" s="816">
        <f>IF(ISNUMBER(Datos!J19/Datos!I19),Datos!J19/Datos!I19," - ")</f>
        <v>0.63630806845965771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-1.2857142857142858</v>
      </c>
      <c r="BM19" s="892">
        <f>IF(ISNUMBER((Datos!P19-Datos!Q19+R19)/(Datos!R19-Datos!P19+Datos!Q19-R19)),(Datos!P19-Datos!Q19+R19)/(Datos!R19-Datos!P19+Datos!Q19-R19)," - ")</f>
        <v>3.0843552582683016E-2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599.20000000000005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773.07201044490887</v>
      </c>
      <c r="G21" s="555">
        <f>IF(ISNUMBER(STDEV(G8:G18)),STDEV(G8:G18),"-")</f>
        <v>749.512641654562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955.18835838801976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124.71193474029127</v>
      </c>
      <c r="BD21" s="554"/>
      <c r="BE21" s="554">
        <f>IF(ISNUMBER(STDEV(BE8:BE18)),STDEV(BE8:BE18),"-")</f>
        <v>0</v>
      </c>
      <c r="BF21" s="559">
        <f>IF(ISNUMBER(STDEV(BF8:BF18)),STDEV(BF8:BF18),"-")</f>
        <v>0</v>
      </c>
      <c r="BG21" s="778">
        <f>IF(ISNUMBER(STDEV(BG8:BG18)),STDEV(BG8:BG18),"-")</f>
        <v>0.25299907234942109</v>
      </c>
      <c r="BH21" s="779">
        <f>IF(ISNUMBER(STDEV(BH8:BH18)),STDEV(BH8:BH18),"-")</f>
        <v>4.3848666244124495</v>
      </c>
      <c r="BI21" s="252">
        <f>IF(ISNUMBER(STDEV(BI8:BI18)),STDEV(BI8:BI18),"-")</f>
        <v>5.2248082568456998E-2</v>
      </c>
      <c r="BJ21" s="233" t="str">
        <f>IF(ISNUMBER(BL21/BM21),BL21/BM21," - ")</f>
        <v xml:space="preserve"> - </v>
      </c>
      <c r="BK21" s="578"/>
      <c r="BL21" s="562">
        <f>IF(ISNUMBER(STDEV(BL8:BL18)),STDEV(BL8:BL18),"-")</f>
        <v>0.74015954651287474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EyWGqZ8fQudaHNhwSYj7jXsyEMVaFtCBYI8S1lAQdH7WAHEHTE/gsRgy8fan5l6t53gMaiAcY9xXXf7HO5Nrg==" saltValue="R563ICIrzj4W8aPxwfOl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SANT BOI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34</v>
      </c>
      <c r="AB10" s="337"/>
      <c r="AC10" s="337"/>
      <c r="AD10" s="487"/>
      <c r="AE10" s="487">
        <f>IF(ISNUMBER(Datos!R10),Datos!R10," - ")</f>
        <v>25</v>
      </c>
      <c r="AF10" s="232" t="str">
        <f>IF(ISNUMBER(Datos!BV10),Datos!BV10," - ")</f>
        <v xml:space="preserve"> - </v>
      </c>
      <c r="AG10" s="228" t="str">
        <f>IF(ISNUMBER(Datos!DV10),Datos!DV10," - ")</f>
        <v xml:space="preserve"> - </v>
      </c>
      <c r="AH10" s="301"/>
      <c r="AI10" s="230"/>
      <c r="AJ10" s="228">
        <f>IF(ISNUMBER(Datos!M10),Datos!M10," - ")</f>
        <v>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14.571428571428571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154</v>
      </c>
      <c r="AA12" s="335" t="str">
        <f>IF(ISNUMBER(IF(J_V="SI",Datos!L12,Datos!L12+Datos!AB12)-IF(Monitorios="SI",Datos!CD12,0)),
                          IF(J_V="SI",Datos!L12,Datos!L12+Datos!AB12)-IF(Monitorios="SI",Datos!CD12,0),
                          " - ")</f>
        <v xml:space="preserve"> - </v>
      </c>
      <c r="AB12" s="337"/>
      <c r="AC12" s="337"/>
      <c r="AD12" s="487"/>
      <c r="AE12" s="487">
        <f>IF(ISNUMBER(Datos!R12),Datos!R12," - ")</f>
        <v>5043</v>
      </c>
      <c r="AF12" s="232" t="str">
        <f>IF(ISNUMBER(Datos!BV12),Datos!BV12," - ")</f>
        <v xml:space="preserve"> - </v>
      </c>
      <c r="AG12" s="228" t="str">
        <f>IF(ISNUMBER(Datos!DV12),Datos!DV12," - ")</f>
        <v xml:space="preserve"> - </v>
      </c>
      <c r="AH12" s="301"/>
      <c r="AI12" s="230"/>
      <c r="AJ12" s="228">
        <f>IF(ISNUMBER(Datos!M12),Datos!M12," - ")</f>
        <v>279</v>
      </c>
      <c r="AK12" s="232">
        <f>IF(ISNUMBER(Datos!N12),Datos!N12," - ")</f>
        <v>755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6.6122059758423397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3.2555282555282554E-2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313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154</v>
      </c>
      <c r="AA13" s="903">
        <f t="shared" si="2"/>
        <v>34</v>
      </c>
      <c r="AB13" s="903">
        <f t="shared" si="2"/>
        <v>0</v>
      </c>
      <c r="AC13" s="903">
        <f t="shared" si="2"/>
        <v>0</v>
      </c>
      <c r="AD13" s="903">
        <f t="shared" si="2"/>
        <v>0</v>
      </c>
      <c r="AE13" s="903">
        <f t="shared" si="2"/>
        <v>5068</v>
      </c>
      <c r="AF13" s="911">
        <f t="shared" si="2"/>
        <v>0</v>
      </c>
      <c r="AG13" s="911">
        <f t="shared" si="2"/>
        <v>0</v>
      </c>
      <c r="AH13" s="911">
        <f t="shared" si="2"/>
        <v>0</v>
      </c>
      <c r="AI13" s="911">
        <f t="shared" si="2"/>
        <v>0</v>
      </c>
      <c r="AJ13" s="911">
        <f t="shared" si="2"/>
        <v>285</v>
      </c>
      <c r="AK13" s="911">
        <f t="shared" si="2"/>
        <v>756</v>
      </c>
      <c r="AL13" s="911">
        <f t="shared" si="2"/>
        <v>0</v>
      </c>
      <c r="AM13" s="911">
        <f t="shared" si="2"/>
        <v>0</v>
      </c>
      <c r="AN13" s="911">
        <f t="shared" si="2"/>
        <v>0</v>
      </c>
      <c r="AO13" s="907">
        <f>IF(ISNUMBER(((NºAsuntos!I13/NºAsuntos!G13)*11)/factor_trimestre),((NºAsuntos!I13/NºAsuntos!G13)*11)/factor_trimestre," - ")</f>
        <v>6.6474683544303801</v>
      </c>
      <c r="AP13" s="913" t="str">
        <f>IF(ISNUMBER(Datos!CI13/Datos!CJ13),Datos!CI13/Datos!CJ13," - ")</f>
        <v xml:space="preserve"> - </v>
      </c>
      <c r="AQ13" s="931">
        <f t="shared" ref="AQ13:AV13" si="3">SUBTOTAL(9,AQ9:AQ12)</f>
        <v>0</v>
      </c>
      <c r="AR13" s="931">
        <f t="shared" si="3"/>
        <v>3.2555282555282554E-2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1366</v>
      </c>
      <c r="G16" s="228">
        <f>IF(ISNUMBER(IF(D_I="SI",Datos!I16,Datos!I16+Datos!AC16)),IF(D_I="SI",Datos!I16,Datos!I16+Datos!AC16)," - ")</f>
        <v>1366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1741</v>
      </c>
      <c r="Z16" s="622">
        <f>IF(ISNUMBER(Datos!Q16),Datos!Q16," - ")</f>
        <v>37</v>
      </c>
      <c r="AA16" s="335">
        <f>IF(ISNUMBER(IF(D_I="SI",Datos!L16,Datos!L16+Datos!AF16)),IF(D_I="SI",Datos!L16,Datos!L16+Datos!AF16)," - ")</f>
        <v>1553</v>
      </c>
      <c r="AB16" s="337"/>
      <c r="AC16" s="337"/>
      <c r="AD16" s="487"/>
      <c r="AE16" s="487">
        <f>IF(ISNUMBER(Datos!R16),Datos!R16," - ")</f>
        <v>475</v>
      </c>
      <c r="AF16" s="232" t="str">
        <f>IF(ISNUMBER(Datos!BV16),Datos!BV16," - ")</f>
        <v xml:space="preserve"> - </v>
      </c>
      <c r="AG16" s="228"/>
      <c r="AH16" s="301"/>
      <c r="AI16" s="230"/>
      <c r="AJ16" s="228">
        <f>IF(ISNUMBER(Datos!M16),Datos!M16," - ")</f>
        <v>169</v>
      </c>
      <c r="AK16" s="232">
        <f>IF(ISNUMBER(Datos!N16),Datos!N16," - ")</f>
        <v>1251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2.6760482481332568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v>
      </c>
      <c r="Z17" s="622">
        <f>IF(ISNUMBER(Datos!Q17),Datos!Q17," - ")</f>
        <v>0</v>
      </c>
      <c r="AA17" s="335">
        <f>IF(ISNUMBER(Datos!L17),Datos!L17,"-")</f>
        <v>96</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4</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6.6976744186046515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1366</v>
      </c>
      <c r="G18" s="901">
        <f>SUBTOTAL(9,G15:G17)</f>
        <v>1471</v>
      </c>
      <c r="H18" s="935">
        <f>SUBTOTAL(9,H15:H17)</f>
        <v>0</v>
      </c>
      <c r="I18" s="914">
        <f>SUBTOTAL(9,I15:I17)</f>
        <v>0</v>
      </c>
      <c r="J18" s="870">
        <f>SUBTOTAL(9,J14:J17)</f>
        <v>0</v>
      </c>
      <c r="K18" s="935">
        <f t="shared" ref="K18:S18" si="4">SUBTOTAL(9,K15:K17)</f>
        <v>0</v>
      </c>
      <c r="L18" s="935">
        <f t="shared" si="4"/>
        <v>0</v>
      </c>
      <c r="M18" s="935">
        <f t="shared" si="4"/>
        <v>0</v>
      </c>
      <c r="N18" s="935">
        <f t="shared" si="4"/>
        <v>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1784</v>
      </c>
      <c r="Z18" s="935">
        <f t="shared" si="5"/>
        <v>37</v>
      </c>
      <c r="AA18" s="935">
        <f t="shared" si="5"/>
        <v>1649</v>
      </c>
      <c r="AB18" s="935">
        <f t="shared" si="5"/>
        <v>0</v>
      </c>
      <c r="AC18" s="935">
        <f t="shared" si="5"/>
        <v>0</v>
      </c>
      <c r="AD18" s="935">
        <f t="shared" si="5"/>
        <v>0</v>
      </c>
      <c r="AE18" s="935">
        <f t="shared" si="5"/>
        <v>480</v>
      </c>
      <c r="AF18" s="935">
        <f t="shared" si="5"/>
        <v>0</v>
      </c>
      <c r="AG18" s="935">
        <f t="shared" si="5"/>
        <v>0</v>
      </c>
      <c r="AH18" s="935">
        <f t="shared" si="5"/>
        <v>0</v>
      </c>
      <c r="AI18" s="935">
        <f t="shared" si="5"/>
        <v>0</v>
      </c>
      <c r="AJ18" s="935">
        <f t="shared" si="5"/>
        <v>173</v>
      </c>
      <c r="AK18" s="935">
        <f t="shared" si="5"/>
        <v>1292</v>
      </c>
      <c r="AL18" s="935">
        <f t="shared" si="5"/>
        <v>0</v>
      </c>
      <c r="AM18" s="935">
        <f t="shared" si="5"/>
        <v>0</v>
      </c>
      <c r="AN18" s="935">
        <f t="shared" si="5"/>
        <v>0</v>
      </c>
      <c r="AO18" s="937">
        <f>IF(ISNUMBER(((NºAsuntos!I18/NºAsuntos!G18)*11)/factor_trimestre),((NºAsuntos!I18/NºAsuntos!G18)*11)/factor_trimestre," - ")</f>
        <v>2.7729820627802693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1393</v>
      </c>
      <c r="G19" s="823">
        <f t="shared" si="7"/>
        <v>1498</v>
      </c>
      <c r="H19" s="824">
        <f t="shared" si="7"/>
        <v>0</v>
      </c>
      <c r="I19" s="823">
        <f t="shared" si="7"/>
        <v>0</v>
      </c>
      <c r="J19" s="825">
        <f t="shared" si="7"/>
        <v>0</v>
      </c>
      <c r="K19" s="823">
        <f t="shared" si="7"/>
        <v>0</v>
      </c>
      <c r="L19" s="826">
        <f t="shared" si="7"/>
        <v>0</v>
      </c>
      <c r="M19" s="823">
        <f t="shared" si="7"/>
        <v>0</v>
      </c>
      <c r="N19" s="824">
        <f t="shared" si="7"/>
        <v>357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1791</v>
      </c>
      <c r="Z19" s="830">
        <f t="shared" si="8"/>
        <v>191</v>
      </c>
      <c r="AA19" s="831">
        <f t="shared" si="8"/>
        <v>1683</v>
      </c>
      <c r="AB19" s="831">
        <f t="shared" si="8"/>
        <v>0</v>
      </c>
      <c r="AC19" s="831">
        <f t="shared" si="8"/>
        <v>0</v>
      </c>
      <c r="AD19" s="832">
        <f t="shared" si="8"/>
        <v>0</v>
      </c>
      <c r="AE19" s="832">
        <f t="shared" si="8"/>
        <v>5548</v>
      </c>
      <c r="AF19" s="833">
        <f t="shared" si="8"/>
        <v>0</v>
      </c>
      <c r="AG19" s="834">
        <f t="shared" si="8"/>
        <v>0</v>
      </c>
      <c r="AH19" s="835">
        <f t="shared" si="8"/>
        <v>0</v>
      </c>
      <c r="AI19" s="833">
        <f t="shared" si="8"/>
        <v>0</v>
      </c>
      <c r="AJ19" s="823">
        <f t="shared" si="8"/>
        <v>458</v>
      </c>
      <c r="AK19" s="823">
        <f t="shared" si="8"/>
        <v>2048</v>
      </c>
      <c r="AL19" s="823">
        <f t="shared" si="8"/>
        <v>0</v>
      </c>
      <c r="AM19" s="836">
        <f t="shared" si="8"/>
        <v>0</v>
      </c>
      <c r="AN19" s="826">
        <f>IF(ISNUMBER(Datos!K19/Datos!J19),Datos!K19/Datos!J19," - ")</f>
        <v>0.95805315401857194</v>
      </c>
      <c r="AO19" s="826">
        <f>IF(ISNUMBER(FIND("06",Criterios!A8,1)),(IF(ISNUMBER(((Datos!R19/Datos!Q19)*11)/factor_trimestre),((Datos!R19/Datos!Q19)*11)/factor_trimestre," - ")),(IF(ISNUMBER(((Datos!L19/Datos!K19)*11)/factor_trimestre),((Datos!L19/Datos!K19)*11)/factor_trimestre," - ")))</f>
        <v>5.0524732620320849</v>
      </c>
      <c r="AP19" s="837" t="str">
        <f>IF(ISNUMBER(Datos!CI19/Datos!CJ19),Datos!CI19/Datos!CJ19," - ")</f>
        <v xml:space="preserve"> - </v>
      </c>
      <c r="AQ19" s="837">
        <f>IF(OR(ISNUMBER(FIND("01",Criterios!A8,1)),ISNUMBER(FIND("02",Criterios!A8,1)),ISNUMBER(FIND("03",Criterios!A8,1)),ISNUMBER(FIND("04",Criterios!A8,1))),(J19-Y19+K19)/(F19-K19),(I19-Y19+K19)/(F19-K19))</f>
        <v>-1.2857142857142858</v>
      </c>
      <c r="AR19" s="837">
        <f>IF(ISNUMBER((Datos!P19-Datos!Q19+O19)/(Datos!R19-Datos!P19+Datos!Q19-O19)),(Datos!P19-Datos!Q19+O19)/(Datos!R19-Datos!P19+Datos!Q19-O19)," - ")</f>
        <v>3.0843552582683016E-2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599.20000000000005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773.07201044490887</v>
      </c>
      <c r="G21" s="555">
        <f>IF(ISNUMBER(STDEV(G8:G18)),STDEV(G8:G18),"-")</f>
        <v>749.512641654562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124.71193474029127</v>
      </c>
      <c r="AK21" s="255"/>
      <c r="AL21" s="255">
        <f>IF(ISNUMBER(STDEV(AL8:AL18)),STDEV(AL8:AL18),"-")</f>
        <v>0</v>
      </c>
      <c r="AM21" s="257">
        <f>IF(ISNUMBER(STDEV(AM8:AM18)),STDEV(AM8:AM18),"-")</f>
        <v>0</v>
      </c>
      <c r="AN21" s="542">
        <f>IF(ISNUMBER(STDEV(AN8:AN18)),STDEV(AN8:AN18),"-")</f>
        <v>0</v>
      </c>
      <c r="AO21" s="543">
        <f>IF(ISNUMBER(STDEV(AO8:AO18)),STDEV(AO8:AO18),"-")</f>
        <v>4.3260903797085506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9xIo3M8LWQkKRTwwmJ0O4QLOxfHgL/QqHIPhoIbDkIp5bF2u4wLAwOwTb85gKAEfXByk8Kh5qSPMmfD99+75nw==" saltValue="C/G29e8Xf2CwbPWsTxws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hqEJWDRhYO8kns928/kC7U+4AE5JpK60wm6rQEP/CzdFloPYPcOHjQXEwhyTvMXgBDoocjanoBAggDkjU2orw==" saltValue="dUXOMk13HEgwgVykfhFh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1QQLTb3elkea8D5bqO9p826jq/XEiR7qliNiE5hhaJG7+lJWhMghDx+8VHguTA6tvzyzmznLkcuIRhutY2DXw==" saltValue="ZTxPsQZuZWCsQLFqcP/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SANT BOI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0.18037974683544303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0.12754774217605444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UwzVlZHvpXSE0YvD+S9LpT6XjzK6g/B4zi7zNki4/vX2hQaLt0UqU8/dki2ZpAITLaTFboGuCfW6SjrWj7f4A==" saltValue="5LjUJr7fUu0HPT7dbSaw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2RR4roFlKs77p2CEuDbPX2Ii6uAy3Yp3VZmHXd7nZ43h4IuQPlyaDwO7MEv1url7Hl2dbFEOUn6VVT3nf7zVA==" saltValue="MRHPCMN9yxRxdmUXIFhF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SANT BOI DE LLOBREGAT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14</v>
      </c>
      <c r="F10" s="407">
        <f>IF(ISNUMBER(E10/B10),E10/B10," - ")</f>
        <v>14</v>
      </c>
      <c r="G10" s="406">
        <f>IF(ISNUMBER(Datos!K10),Datos!K10," - ")</f>
        <v>7</v>
      </c>
      <c r="H10" s="407">
        <f>IF(ISNUMBER(G10/B10),G10/B10," - ")</f>
        <v>7</v>
      </c>
      <c r="I10" s="406">
        <f>IF(ISNUMBER(Datos!L10),Datos!L10," - ")</f>
        <v>34</v>
      </c>
      <c r="J10" s="407">
        <f>IF(ISNUMBER(I10/B10),I10/B10," - ")</f>
        <v>34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3517</v>
      </c>
      <c r="D12" s="407">
        <f>IF(ISNUMBER(C12/Datos!BH12),C12/Datos!BH12," - ")</f>
        <v>586.16666666666663</v>
      </c>
      <c r="E12" s="406">
        <f>IF(ISNUMBER(IF(J_V="SI",Datos!J12,Datos!J12+Datos!Z12)),IF(J_V="SI",Datos!J12,Datos!J12+Datos!Z12)," - ")</f>
        <v>1523</v>
      </c>
      <c r="F12" s="407">
        <f>IF(ISNUMBER(E12/B12),E12/B12," - ")</f>
        <v>253.83333333333334</v>
      </c>
      <c r="G12" s="406">
        <f>IF(ISNUMBER(IF(J_V="SI",Datos!K12,Datos!K12+Datos!AA12)),IF(J_V="SI",Datos!K12,Datos!K12+Datos!AA12)," - ")</f>
        <v>1573</v>
      </c>
      <c r="H12" s="407">
        <f>IF(ISNUMBER(G12/B12),G12/B12," - ")</f>
        <v>262.16666666666669</v>
      </c>
      <c r="I12" s="406">
        <f>IF(ISNUMBER(IF(J_V="SI",Datos!L12,Datos!L12+Datos!AB12)),IF(J_V="SI",Datos!L12,Datos!L12+Datos!AB12)," - ")</f>
        <v>3467</v>
      </c>
      <c r="J12" s="407">
        <f>IF(ISNUMBER(I12/B12),I12/B12," - ")</f>
        <v>577.83333333333337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3544</v>
      </c>
      <c r="D13" s="853" t="str">
        <f>IF(ISNUMBER(C13/Datos!BI13),C13/Datos!BI13," - ")</f>
        <v xml:space="preserve"> - </v>
      </c>
      <c r="E13" s="852">
        <f>SUBTOTAL(9,E8:E12)</f>
        <v>1537</v>
      </c>
      <c r="F13" s="853">
        <f>IF(ISNUMBER(E13/B13),E13/B13," - ")</f>
        <v>256.16666666666669</v>
      </c>
      <c r="G13" s="852">
        <f>SUBTOTAL(9,G8:G12)</f>
        <v>1580</v>
      </c>
      <c r="H13" s="853">
        <f>IF(ISNUMBER(G13/B13),G13/B13," - ")</f>
        <v>263.33333333333331</v>
      </c>
      <c r="I13" s="852">
        <f>SUBTOTAL(9,I8:I12)</f>
        <v>3501</v>
      </c>
      <c r="J13" s="853">
        <f>IF(ISNUMBER(I13/B13),I13/B13," - ")</f>
        <v>583.5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1366</v>
      </c>
      <c r="D16" s="407">
        <f>IF(ISNUMBER(C16/Datos!BH16),C16/Datos!BH16," - ")</f>
        <v>227.66666666666666</v>
      </c>
      <c r="E16" s="406">
        <f>IF(ISNUMBER(IF(D_I="SI",Datos!J16,Datos!J16+Datos!AD16)),IF(D_I="SI",Datos!J16,Datos!J16+Datos!AD16)," - ")</f>
        <v>1928</v>
      </c>
      <c r="F16" s="407">
        <f>IF(ISNUMBER(E16/B16),E16/B16," - ")</f>
        <v>321.33333333333331</v>
      </c>
      <c r="G16" s="406">
        <f>IF(ISNUMBER(IF(D_I="SI",Datos!K16,Datos!K16+Datos!AE16)),IF(D_I="SI",Datos!K16,Datos!K16+Datos!AE16)," - ")</f>
        <v>1741</v>
      </c>
      <c r="H16" s="407">
        <f>IF(ISNUMBER(G16/B16),G16/B16," - ")</f>
        <v>290.16666666666669</v>
      </c>
      <c r="I16" s="406">
        <f>IF(ISNUMBER(IF(D_I="SI",Datos!L16,Datos!L16+Datos!AF16)),IF(D_I="SI",Datos!L16,Datos!L16+Datos!AF16)," - ")</f>
        <v>1553</v>
      </c>
      <c r="J16" s="407">
        <f>IF(ISNUMBER(I16/B16),I16/B16," - ")</f>
        <v>258.83333333333331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105</v>
      </c>
      <c r="D17" s="407">
        <f>IF(ISNUMBER(C17/Datos!BH17),C17/Datos!BH17," - ")</f>
        <v>105</v>
      </c>
      <c r="E17" s="406">
        <f>IF(ISNUMBER(IF(D_I="SI",Datos!J17,Datos!J17+Datos!AD17)),IF(D_I="SI",Datos!J17,Datos!J17+Datos!AD17)," - ")</f>
        <v>34</v>
      </c>
      <c r="F17" s="407">
        <f>IF(ISNUMBER(E17/B17),E17/B17," - ")</f>
        <v>34</v>
      </c>
      <c r="G17" s="406">
        <f>IF(ISNUMBER(IF(D_I="SI",Datos!K17,Datos!K17+Datos!AE17)),IF(D_I="SI",Datos!K17,Datos!K17+Datos!AE17)," - ")</f>
        <v>43</v>
      </c>
      <c r="H17" s="407">
        <f>IF(ISNUMBER(G17/B17),G17/B17," - ")</f>
        <v>43</v>
      </c>
      <c r="I17" s="406">
        <f>IF(ISNUMBER(IF(D_I="SI",Datos!L17,Datos!L17+Datos!AF17)),IF(D_I="SI",Datos!L17,Datos!L17+Datos!AF17)," - ")</f>
        <v>96</v>
      </c>
      <c r="J17" s="407">
        <f>IF(ISNUMBER(I17/B17),I17/B17," - ")</f>
        <v>96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1471</v>
      </c>
      <c r="D18" s="853" t="str">
        <f>IF(ISNUMBER(C18/Datos!BI18),C18/Datos!BI18," - ")</f>
        <v xml:space="preserve"> - </v>
      </c>
      <c r="E18" s="852">
        <f>SUBTOTAL(9,E14:E17)</f>
        <v>1962</v>
      </c>
      <c r="F18" s="853">
        <f>IF(ISNUMBER(E18/B18),E18/B18," - ")</f>
        <v>327</v>
      </c>
      <c r="G18" s="852">
        <f>SUBTOTAL(9,G14:G17)</f>
        <v>1784</v>
      </c>
      <c r="H18" s="853">
        <f>IF(ISNUMBER(G18/B18),G18/B18," - ")</f>
        <v>297.33333333333331</v>
      </c>
      <c r="I18" s="852">
        <f>SUBTOTAL(9,I14:I17)</f>
        <v>1649</v>
      </c>
      <c r="J18" s="853">
        <f>IF(ISNUMBER(I18/B18),I18/B18," - ")</f>
        <v>274.83333333333331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5015</v>
      </c>
      <c r="D19" s="798" t="str">
        <f>IF(ISNUMBER(C19/Datos!BI19),C19/Datos!BI19," - ")</f>
        <v xml:space="preserve"> - </v>
      </c>
      <c r="E19" s="797">
        <f>SUBTOTAL(9,E9:E18)</f>
        <v>3499</v>
      </c>
      <c r="F19" s="798">
        <f>IF(ISNUMBER(E19/B19),E19/B19," - ")</f>
        <v>583.16666666666663</v>
      </c>
      <c r="G19" s="797">
        <f>SUBTOTAL(9,G9:G18)</f>
        <v>3364</v>
      </c>
      <c r="H19" s="798">
        <f>IF(ISNUMBER(G19/B19),G19/B19," - ")</f>
        <v>560.66666666666663</v>
      </c>
      <c r="I19" s="797">
        <f>SUBTOTAL(9,I9:I18)</f>
        <v>5150</v>
      </c>
      <c r="J19" s="798">
        <f>IF(ISNUMBER(I19/B19),I19/B19," - ")</f>
        <v>858.33333333333337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e2IdrMv7UHD3yNifCCTdhOtWXypoV62oU06v/ze9oUaGdubiE6u68jTJWvBqLLpzeeAGLD8ZLpVdR+KxSISng==" saltValue="YC6mvT+XQ+3qQdoIe5N+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SANT BOI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34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14.571428571428571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5043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279</v>
      </c>
      <c r="AM12" s="693">
        <f>IF(ISNUMBER(Datos!N12+DatosP!N16),Datos!N12+DatosP!N16," - ")</f>
        <v>755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6.6122059758423397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3.2555282555282554E-2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313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154</v>
      </c>
      <c r="AE13" s="942">
        <f t="shared" si="1"/>
        <v>0</v>
      </c>
      <c r="AF13" s="942">
        <f t="shared" si="1"/>
        <v>34</v>
      </c>
      <c r="AG13" s="942">
        <f t="shared" si="1"/>
        <v>0</v>
      </c>
      <c r="AH13" s="942">
        <f t="shared" si="1"/>
        <v>5043</v>
      </c>
      <c r="AI13" s="942">
        <f t="shared" si="1"/>
        <v>0</v>
      </c>
      <c r="AJ13" s="942">
        <f t="shared" si="1"/>
        <v>0</v>
      </c>
      <c r="AK13" s="942">
        <f t="shared" si="1"/>
        <v>0</v>
      </c>
      <c r="AL13" s="942">
        <f t="shared" si="1"/>
        <v>285</v>
      </c>
      <c r="AM13" s="942">
        <f t="shared" si="1"/>
        <v>756</v>
      </c>
      <c r="AN13" s="942">
        <f t="shared" si="1"/>
        <v>0</v>
      </c>
      <c r="AO13" s="942">
        <f t="shared" si="1"/>
        <v>0</v>
      </c>
      <c r="AP13" s="947">
        <f>IF(ISNUMBER(((Datos!L13/Datos!K13)*11)/factor_trimestre),((Datos!L13/Datos!K13)*11)/factor_trimestre," - ")</f>
        <v>8.418874172185431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-0.25925925925925924</v>
      </c>
      <c r="AU13" s="942" t="str">
        <f>IF(ISNUMBER((DatosP!#REF!-DatosP!#REF!+DatosP!#REF!)/(DatosP!#REF!+DatosP!#REF!-DatosP!#REF!-DatosP!#REF!)),(DatosP!#REF!-DatosP!#REF!+DatosP!#REF!)/(DatosP!#REF!+DatosP!#REF!-DatosP!#REF!-DatosP!#REF!)," - ")</f>
        <v xml:space="preserve"> - </v>
      </c>
      <c r="AV13" s="948">
        <f>SUBTOTAL(9,AV9:AV12)</f>
        <v>3.2555282555282554E-2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2.7729820627802693</v>
      </c>
      <c r="AQ18" s="947">
        <f>IF(ISNUMBER(((Datos!M18/Datos!L18)*11)/factor_trimestre),((Datos!M18/Datos!L18)*11)/factor_trimestre," - ")</f>
        <v>0.3147362037598545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1.4799154334038054E-2</v>
      </c>
      <c r="AW18" s="949">
        <f>IF(ISNUMBER((Datos!Q18-Datos!R18)/(Datos!S18-Datos!Q18+Datos!R18)),(Datos!Q18-Datos!R18)/(Datos!S18-Datos!Q18+Datos!R18)," - ")</f>
        <v>-0.27896725440806047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313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154</v>
      </c>
      <c r="AE19" s="960">
        <f t="shared" si="5"/>
        <v>0</v>
      </c>
      <c r="AF19" s="961">
        <f t="shared" si="5"/>
        <v>34</v>
      </c>
      <c r="AG19" s="961">
        <f t="shared" si="5"/>
        <v>0</v>
      </c>
      <c r="AH19" s="961">
        <f t="shared" si="5"/>
        <v>5043</v>
      </c>
      <c r="AI19" s="961">
        <f t="shared" si="5"/>
        <v>0</v>
      </c>
      <c r="AJ19" s="962">
        <f t="shared" si="5"/>
        <v>0</v>
      </c>
      <c r="AK19" s="962">
        <f t="shared" si="5"/>
        <v>0</v>
      </c>
      <c r="AL19" s="954">
        <f t="shared" si="5"/>
        <v>285</v>
      </c>
      <c r="AM19" s="954">
        <f t="shared" si="5"/>
        <v>756</v>
      </c>
      <c r="AN19" s="954">
        <f t="shared" si="5"/>
        <v>0</v>
      </c>
      <c r="AO19" s="954">
        <f t="shared" si="5"/>
        <v>0</v>
      </c>
      <c r="AP19" s="954">
        <f>IF(ISNUMBER(((Datos!L19/Datos!K19)*11)/factor_trimestre),((Datos!L19/Datos!K19)*11)/factor_trimestre," - ")</f>
        <v>5.0524732620320849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-0.25925925925925924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3.0843552582683016E-2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161.11796920269322</v>
      </c>
      <c r="AM21" s="739"/>
      <c r="AN21" s="739">
        <f>IF(ISNUMBER(STDEV(AN8:AN18)),STDEV(AN8:AN18),"-")</f>
        <v>0</v>
      </c>
      <c r="AO21" s="745">
        <f>IF(ISNUMBER(STDEV(AO8:AO18)),STDEV(AO8:AO18),"-")</f>
        <v>0</v>
      </c>
      <c r="AP21" s="782">
        <f>IF(ISNUMBER(STDEV(AP8:AP18)),STDEV(AP8:AP18),"-")</f>
        <v>4.9183862353123509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skkZWuUMUmgKi2kN557qCsqk+RPjb8EQwU6bXeDEuzGndDqYMhY+qTIvQfXFQ5WcOk1tTeJZQA2XcVP0jsAZw==" saltValue="IzSwvQMDaey/bl41qk52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SANT BOI DE LLOBREGAT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GMfrxUzGoo1cINDOsZb43jb9F/xUafW+XeCG3n2tPL0pLuG5RJ4/smaaDrA5DoOYQUNTFqf+qcOva8LTi+cDw==" saltValue="LXz/dP+a1iHrY+DKLbWi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SANT BOI DE LLOBREGAT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279</v>
      </c>
      <c r="E12" s="407">
        <f t="shared" si="0"/>
        <v>46.5</v>
      </c>
      <c r="F12" s="406">
        <f>IF(ISNUMBER(Datos!N12),Datos!N12," - ")</f>
        <v>755</v>
      </c>
      <c r="G12" s="407">
        <f t="shared" si="1"/>
        <v>125.83333333333333</v>
      </c>
      <c r="H12" s="406">
        <f>IF(ISNUMBER(Datos!O12),Datos!O12," - ")</f>
        <v>544</v>
      </c>
      <c r="I12" s="407">
        <f t="shared" si="2"/>
        <v>90.666666666666671</v>
      </c>
    </row>
    <row r="13" spans="1:9" ht="14.25" thickTop="1" thickBot="1">
      <c r="A13" s="851" t="str">
        <f>Datos!A13</f>
        <v>TOTAL</v>
      </c>
      <c r="B13" s="852">
        <f>Datos!AO13</f>
        <v>7</v>
      </c>
      <c r="C13" s="854">
        <f>Datos!AR13</f>
        <v>6</v>
      </c>
      <c r="D13" s="852">
        <f>SUBTOTAL(9,D9:D12)</f>
        <v>285</v>
      </c>
      <c r="E13" s="853">
        <f t="shared" si="0"/>
        <v>40.714285714285715</v>
      </c>
      <c r="F13" s="852">
        <f>SUBTOTAL(9,F9:F12)</f>
        <v>756</v>
      </c>
      <c r="G13" s="853">
        <f t="shared" si="1"/>
        <v>108</v>
      </c>
      <c r="H13" s="852">
        <f>SUBTOTAL(9,H9:H12)</f>
        <v>544</v>
      </c>
      <c r="I13" s="853">
        <f>IF(ISNUMBER(H13/B13),H13/B13," - ")</f>
        <v>77.714285714285708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169</v>
      </c>
      <c r="E16" s="407">
        <f t="shared" si="3"/>
        <v>28.166666666666668</v>
      </c>
      <c r="F16" s="406">
        <f>IF(ISNUMBER(Datos!N16),Datos!N16," - ")</f>
        <v>1251</v>
      </c>
      <c r="G16" s="407">
        <f t="shared" si="4"/>
        <v>208.5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7</v>
      </c>
      <c r="C18" s="854">
        <f>Datos!AR18</f>
        <v>6</v>
      </c>
      <c r="D18" s="852">
        <f>SUBTOTAL(9,D15:D17)</f>
        <v>173</v>
      </c>
      <c r="E18" s="853">
        <f t="shared" si="3"/>
        <v>24.714285714285715</v>
      </c>
      <c r="F18" s="852">
        <f>SUBTOTAL(9,F15:F17)</f>
        <v>1292</v>
      </c>
      <c r="G18" s="853">
        <f t="shared" si="4"/>
        <v>184.57142857142858</v>
      </c>
      <c r="H18" s="852">
        <f>SUBTOTAL(9,H15:H17)</f>
        <v>0</v>
      </c>
      <c r="I18" s="853">
        <f>IF(ISNUMBER(H18/B18),H18/B18," - ")</f>
        <v>0</v>
      </c>
    </row>
    <row r="19" spans="1:9" ht="14.25" thickTop="1" thickBot="1">
      <c r="A19" s="796" t="str">
        <f>Datos!A19</f>
        <v>TOTAL JURISDICCIONES</v>
      </c>
      <c r="B19" s="797">
        <f>Datos!AP19</f>
        <v>6</v>
      </c>
      <c r="C19" s="797">
        <f>Datos!AR19</f>
        <v>6</v>
      </c>
      <c r="D19" s="797">
        <f>SUBTOTAL(9,D8:D18)</f>
        <v>458</v>
      </c>
      <c r="E19" s="798">
        <f>IF(ISNUMBER(D19/B19),D19/B19," - ")</f>
        <v>76.333333333333329</v>
      </c>
      <c r="F19" s="797">
        <f>SUBTOTAL(9,F8:F18)</f>
        <v>2048</v>
      </c>
      <c r="G19" s="798">
        <f>IF(ISNUMBER(F19/B19),F19/B19," - ")</f>
        <v>341.33333333333331</v>
      </c>
      <c r="H19" s="797">
        <f>SUBTOTAL(9,H8:H18)</f>
        <v>544</v>
      </c>
      <c r="I19" s="798">
        <f>IF(ISNUMBER(H19/B19),H19/B19," - ")</f>
        <v>90.666666666666671</v>
      </c>
    </row>
    <row r="22" spans="1:9">
      <c r="A22" s="394" t="str">
        <f>Criterios!A4</f>
        <v>Fecha Informe: 07 mar. 2024</v>
      </c>
    </row>
    <row r="27" spans="1:9">
      <c r="A27" s="417"/>
    </row>
  </sheetData>
  <sheetProtection algorithmName="SHA-512" hashValue="leslh2zYk+YGlF7eZPZruVWaGiW5xrdyjaR1GN4gly3sT+YZu/OGCidzfogdXnR7P2lEDinmudQqDO5rjvnL7A==" saltValue="+wVy4LfiCihCJhTyjPXI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SANT BOI DE LLOBREGAT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313</v>
      </c>
      <c r="C12" s="437">
        <f>IF(ISNUMBER(Datos!Q12),Datos!Q12," - ")</f>
        <v>154</v>
      </c>
      <c r="D12" s="411">
        <f>IF(ISNUMBER(Datos!R12),Datos!R12," - ")</f>
        <v>5043</v>
      </c>
    </row>
    <row r="13" spans="1:4" ht="14.25" thickTop="1" thickBot="1">
      <c r="A13" s="851" t="str">
        <f>Datos!A13</f>
        <v>TOTAL</v>
      </c>
      <c r="B13" s="852">
        <f>SUBTOTAL(9,B9:B12)</f>
        <v>313</v>
      </c>
      <c r="C13" s="856">
        <f>SUBTOTAL(9,C9:C12)</f>
        <v>154</v>
      </c>
      <c r="D13" s="854">
        <f>SUBTOTAL(9,D9:D12)</f>
        <v>5068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44</v>
      </c>
      <c r="C16" s="437">
        <f>IF(ISNUMBER(Datos!Q16),Datos!Q16," - ")</f>
        <v>37</v>
      </c>
      <c r="D16" s="411">
        <f>IF(ISNUMBER(Datos!R16),Datos!R16," - ")</f>
        <v>475</v>
      </c>
    </row>
    <row r="17" spans="1:4" ht="13.5" thickBot="1">
      <c r="A17" s="405" t="str">
        <f>Datos!A17</f>
        <v>Jdos. Violencia contra la mujer</v>
      </c>
      <c r="B17" s="436">
        <f>IF(ISNUMBER(Datos!P17),Datos!P17," - ")</f>
        <v>0</v>
      </c>
      <c r="C17" s="437">
        <f>IF(ISNUMBER(Datos!Q17),Datos!Q17," - ")</f>
        <v>0</v>
      </c>
      <c r="D17" s="411">
        <f>IF(ISNUMBER(Datos!R17),Datos!R17," - ")</f>
        <v>5</v>
      </c>
    </row>
    <row r="18" spans="1:4" ht="14.25" thickTop="1" thickBot="1">
      <c r="A18" s="851" t="str">
        <f>Datos!A18</f>
        <v>TOTAL</v>
      </c>
      <c r="B18" s="852">
        <f>SUBTOTAL(9,B15:B17)</f>
        <v>44</v>
      </c>
      <c r="C18" s="856">
        <f>SUBTOTAL(9,C15:C17)</f>
        <v>37</v>
      </c>
      <c r="D18" s="854">
        <f>SUBTOTAL(9,D15:D17)</f>
        <v>480</v>
      </c>
    </row>
    <row r="19" spans="1:4" ht="16.5" customHeight="1" thickTop="1" thickBot="1">
      <c r="A19" s="796" t="str">
        <f>Datos!A19</f>
        <v>TOTAL JURISDICCIONES</v>
      </c>
      <c r="B19" s="801">
        <f>SUBTOTAL(9,B8:B18)</f>
        <v>357</v>
      </c>
      <c r="C19" s="802">
        <f>SUBTOTAL(9,C8:C18)</f>
        <v>191</v>
      </c>
      <c r="D19" s="803">
        <f>SUBTOTAL(9,D8:D18)</f>
        <v>5548</v>
      </c>
    </row>
    <row r="20" spans="1:4" ht="7.5" customHeight="1"/>
    <row r="21" spans="1:4" ht="6" customHeight="1"/>
    <row r="22" spans="1:4">
      <c r="A22" s="394" t="str">
        <f>Criterios!A4</f>
        <v>Fecha Informe: 07 mar. 2024</v>
      </c>
    </row>
    <row r="27" spans="1:4">
      <c r="A27" s="417"/>
    </row>
  </sheetData>
  <sheetProtection algorithmName="SHA-512" hashValue="pKdnUa8BCxVoamfhtQIq/oJmVGMTwv43HcuhVryGZQOA0kA1PH/N2ZMsqvrOFLhHD3Fjsm6QRnPHENwzCf65sQ==" saltValue="T0OKU0sFYoC9xAa3Fnl/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SANT BOI DE LLOBREGAT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-0.28947368421052633</v>
      </c>
      <c r="C10" s="459">
        <f>IF(ISNUMBER((Datos!J10-Datos!T10)/Datos!T10),(Datos!J10-Datos!T10)/Datos!T10," - ")</f>
        <v>0</v>
      </c>
      <c r="D10" s="459">
        <f>IF(ISNUMBER((Datos!K10-Datos!U10)/Datos!U10),(Datos!K10-Datos!U10)/Datos!U10," - ")</f>
        <v>0.75</v>
      </c>
      <c r="E10" s="459">
        <f>IF(ISNUMBER((Datos!L10-Datos!V10)/Datos!V10),(Datos!L10-Datos!V10)/Datos!V10," - ")</f>
        <v>-0.29166666666666669</v>
      </c>
      <c r="F10" s="459">
        <f>IF(ISNUMBER((Datos!M10-Datos!W10)/Datos!W10),(Datos!M10-Datos!W10)/Datos!W10," - ")</f>
        <v>2</v>
      </c>
      <c r="G10" s="460" t="str">
        <f>IF(ISNUMBER((Datos!N10-Datos!X10)/Datos!X10),(Datos!N10-Datos!X10)/Datos!X10," - ")</f>
        <v xml:space="preserve"> - </v>
      </c>
      <c r="H10" s="458">
        <f>IF(ISNUMBER(((NºAsuntos!G10/NºAsuntos!E10)-Datos!BD10)/Datos!BD10),((NºAsuntos!G10/NºAsuntos!E10)-Datos!BD10)/Datos!BD10," - ")</f>
        <v>0.75000000000000011</v>
      </c>
      <c r="I10" s="459">
        <f>IF(ISNUMBER(((NºAsuntos!I10/NºAsuntos!G10)-Datos!BE10)/Datos!BE10),((NºAsuntos!I10/NºAsuntos!G10)-Datos!BE10)/Datos!BE10," - ")</f>
        <v>-0.59523809523809523</v>
      </c>
      <c r="J10" s="464">
        <f>IF(ISNUMBER((('Resol  Asuntos'!D10/NºAsuntos!G10)-Datos!BF10)/Datos!BF10),(('Resol  Asuntos'!D10/NºAsuntos!G10)-Datos!BF10)/Datos!BF10," - ")</f>
        <v>0.71428571428571419</v>
      </c>
      <c r="K10" s="465">
        <f>IF(ISNUMBER((((NºAsuntos!C10+NºAsuntos!E10)/NºAsuntos!G10)-Datos!BG10)/Datos!BG10),(((NºAsuntos!C10+NºAsuntos!E10)/NºAsuntos!G10)-Datos!BG10)/Datos!BG10," - ")</f>
        <v>-0.5494505494505495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0.14485677083333334</v>
      </c>
      <c r="C12" s="459">
        <f>IF(ISNUMBER(
   IF(J_V="SI",(Datos!J12-Datos!T12)/Datos!T12,(Datos!J12+Datos!Z12-(Datos!T12+Datos!AH12))/(Datos!T12+Datos!AH12))
     ),IF(J_V="SI",(Datos!J12-Datos!T12)/Datos!T12,(Datos!J12+Datos!Z12-(Datos!T12+Datos!AH12))/(Datos!T12+Datos!AH12))," - ")</f>
        <v>-9.6142433234421371E-2</v>
      </c>
      <c r="D12" s="459">
        <f>IF(ISNUMBER(
   IF(J_V="SI",(Datos!K12-Datos!U12)/Datos!U12,(Datos!K12+Datos!AA12-(Datos!U12+Datos!AI12))/(Datos!U12+Datos!AI12))
     ),IF(J_V="SI",(Datos!K12-Datos!U12)/Datos!U12,(Datos!K12+Datos!AA12-(Datos!U12+Datos!AI12))/(Datos!U12+Datos!AI12))," - ")</f>
        <v>2.8776978417266189E-2</v>
      </c>
      <c r="E12" s="459">
        <f>IF(ISNUMBER(
   IF(J_V="SI",(Datos!L12-Datos!V12)/Datos!V12,(Datos!L12+Datos!AB12-(Datos!V12+Datos!AJ12))/(Datos!V12+Datos!AJ12))
     ),IF(J_V="SI",(Datos!L12-Datos!V12)/Datos!V12,(Datos!L12+Datos!AB12-(Datos!V12+Datos!AJ12))/(Datos!V12+Datos!AJ12))," - ")</f>
        <v>7.4039653035935557E-2</v>
      </c>
      <c r="F12" s="459">
        <f>IF(ISNUMBER((Datos!M12-Datos!W12)/Datos!W12),(Datos!M12-Datos!W12)/Datos!W12," - ")</f>
        <v>6.8965517241379309E-2</v>
      </c>
      <c r="G12" s="460">
        <f>IF(ISNUMBER((Datos!N12-Datos!X12)/Datos!X12),(Datos!N12-Datos!X12)/Datos!X12," - ")</f>
        <v>-3.5759897828863345E-2</v>
      </c>
      <c r="H12" s="458">
        <f>IF(ISNUMBER(((NºAsuntos!G12/NºAsuntos!E12)-Datos!BD12)/Datos!BD12),((NºAsuntos!G12/NºAsuntos!E12)-Datos!BD12)/Datos!BD12," - ")</f>
        <v>0.13820696561595108</v>
      </c>
      <c r="I12" s="459">
        <f>IF(ISNUMBER(((NºAsuntos!I12/NºAsuntos!G12)-Datos!BE12)/Datos!BE12),((NºAsuntos!I12/NºAsuntos!G12)-Datos!BE12)/Datos!BE12," - ")</f>
        <v>4.3996585818147034E-2</v>
      </c>
      <c r="J12" s="464">
        <f>IF(ISNUMBER((('Resol  Asuntos'!D12/NºAsuntos!G12)-Datos!BF12)/Datos!BF12),(('Resol  Asuntos'!D12/NºAsuntos!G12)-Datos!BF12)/Datos!BF12," - ")</f>
        <v>-0.65364520536934334</v>
      </c>
      <c r="K12" s="465">
        <f>IF(ISNUMBER((((NºAsuntos!C12+NºAsuntos!E12)/NºAsuntos!G12)-Datos!BG12)/Datos!BG12),(((NºAsuntos!C12+NºAsuntos!E12)/NºAsuntos!G12)-Datos!BG12)/Datos!BG12," - ")</f>
        <v>2.985515640550318E-2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0.13954983922829581</v>
      </c>
      <c r="C13" s="858">
        <f>IF(ISNUMBER(
   IF(J_V="SI",(Datos!J13-Datos!T13)/Datos!T13,(Datos!J13+Datos!Z13-(Datos!T13+Datos!AH13))/(Datos!T13+Datos!AH13))
     ),IF(J_V="SI",(Datos!J13-Datos!T13)/Datos!T13,(Datos!J13+Datos!Z13-(Datos!T13+Datos!AH13))/(Datos!T13+Datos!AH13))," - ")</f>
        <v>-9.5350206003531487E-2</v>
      </c>
      <c r="D13" s="858">
        <f>IF(ISNUMBER(
   IF(J_V="SI",(Datos!K13-Datos!U13)/Datos!U13,(Datos!K13+Datos!AA13-(Datos!U13+Datos!AI13))/(Datos!U13+Datos!AI13))
     ),IF(J_V="SI",(Datos!K13-Datos!U13)/Datos!U13,(Datos!K13+Datos!AA13-(Datos!U13+Datos!AI13))/(Datos!U13+Datos!AI13))," - ")</f>
        <v>3.0658838878016959E-2</v>
      </c>
      <c r="E13" s="858">
        <f>IF(ISNUMBER(
   IF(J_V="SI",(Datos!L13-Datos!V13)/Datos!V13,(Datos!L13+Datos!AB13-(Datos!V13+Datos!AJ13))/(Datos!V13+Datos!AJ13))
     ),IF(J_V="SI",(Datos!L13-Datos!V13)/Datos!V13,(Datos!L13+Datos!AB13-(Datos!V13+Datos!AJ13))/(Datos!V13+Datos!AJ13))," - ")</f>
        <v>6.8681318681318687E-2</v>
      </c>
      <c r="F13" s="859">
        <f>IF(ISNUMBER((Datos!M13-Datos!W13)/Datos!W13),(Datos!M13-Datos!W13)/Datos!W13," - ")</f>
        <v>8.3650190114068435E-2</v>
      </c>
      <c r="G13" s="860">
        <f>IF(ISNUMBER((Datos!N13-Datos!X13)/Datos!X13),(Datos!N13-Datos!X13)/Datos!X13," - ")</f>
        <v>-3.4482758620689655E-2</v>
      </c>
      <c r="H13" s="860">
        <f>IF(ISNUMBER(((NºAsuntos!G13/NºAsuntos!E13)-Datos!BD13)/Datos!BD13),((NºAsuntos!G13/NºAsuntos!E13)-Datos!BD13)/Datos!BD13," - ")</f>
        <v>0.13929041460881647</v>
      </c>
      <c r="I13" s="860">
        <f>IF(ISNUMBER(((NºAsuntos!I13/NºAsuntos!G13)-Datos!BE13)/Datos!BE13),((NºAsuntos!I13/NºAsuntos!G13)-Datos!BE13)/Datos!BE13," - ")</f>
        <v>3.6891431353456537E-2</v>
      </c>
      <c r="J13" s="860">
        <f>IF(ISNUMBER((('Resol  Asuntos'!D13/NºAsuntos!G13)-Datos!BF13)/Datos!BF13),(('Resol  Asuntos'!D13/NºAsuntos!G13)-Datos!BF13)/Datos!BF13," - ")</f>
        <v>-0.64774248165766357</v>
      </c>
      <c r="K13" s="860">
        <f>IF(ISNUMBER((((NºAsuntos!C13+NºAsuntos!E13)/NºAsuntos!G13)-Datos!BG13)/Datos!BG13),(((NºAsuntos!C13+NºAsuntos!E13)/NºAsuntos!G13)-Datos!BG13)/Datos!BG13," - ")</f>
        <v>2.5131280747332837E-2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0.28989612842304058</v>
      </c>
      <c r="C16" s="459">
        <f>IF(ISNUMBER(
   IF(D_I="SI",(Datos!J16-Datos!T16)/Datos!T16,(Datos!J16+Datos!AD16-(Datos!T16+Datos!AL16))/(Datos!T16+Datos!AL16))
     ),IF(D_I="SI",(Datos!J16-Datos!T16)/Datos!T16,(Datos!J16+Datos!AD16-(Datos!T16+Datos!AL16))/(Datos!T16+Datos!AL16))," - ")</f>
        <v>0.20274485339987525</v>
      </c>
      <c r="D16" s="459">
        <f>IF(ISNUMBER(
   IF(D_I="SI",(Datos!K16-Datos!U16)/Datos!U16,(Datos!K16+Datos!AE16-(Datos!U16+Datos!AM16))/(Datos!U16+Datos!AM16))
     ),IF(D_I="SI",(Datos!K16-Datos!U16)/Datos!U16,(Datos!K16+Datos!AE16-(Datos!U16+Datos!AM16))/(Datos!U16+Datos!AM16))," - ")</f>
        <v>8.0024813895781644E-2</v>
      </c>
      <c r="E16" s="459">
        <f>IF(ISNUMBER(
   IF(D_I="SI",(Datos!L16-Datos!V16)/Datos!V16,(Datos!L16+Datos!AF16-(Datos!V16+Datos!AN16))/(Datos!V16+Datos!AN16))
     ),IF(D_I="SI",(Datos!L16-Datos!V16)/Datos!V16,(Datos!L16+Datos!AF16-(Datos!V16+Datos!AN16))/(Datos!V16+Datos!AN16))," - ")</f>
        <v>0.47203791469194312</v>
      </c>
      <c r="F16" s="459">
        <f>IF(ISNUMBER((Datos!M16-Datos!W16)/Datos!W16),(Datos!M16-Datos!W16)/Datos!W16," - ")</f>
        <v>-8.1521739130434784E-2</v>
      </c>
      <c r="G16" s="460">
        <f>IF(ISNUMBER((Datos!N16-Datos!X16)/Datos!X16),(Datos!N16-Datos!X16)/Datos!X16," - ")</f>
        <v>5.4806070826306917E-2</v>
      </c>
      <c r="H16" s="458">
        <f>IF(ISNUMBER(((NºAsuntos!G16/NºAsuntos!E16)-Datos!BD16)/Datos!BD16),((NºAsuntos!G16/NºAsuntos!E16)-Datos!BD16)/Datos!BD16," - ")</f>
        <v>-0.1020333108532479</v>
      </c>
      <c r="I16" s="459">
        <f>IF(ISNUMBER(((NºAsuntos!I16/NºAsuntos!G16)-Datos!BE16)/Datos!BE16),((NºAsuntos!I16/NºAsuntos!G16)-Datos!BE16)/Datos!BE16," - ")</f>
        <v>0.36296675386755434</v>
      </c>
      <c r="J16" s="464">
        <f>IF(ISNUMBER((('Resol  Asuntos'!D16/NºAsuntos!G16)-Datos!BF16)/Datos!BF16),(('Resol  Asuntos'!D16/NºAsuntos!G16)-Datos!BF16)/Datos!BF16," - ")</f>
        <v>-0.14957670504207973</v>
      </c>
      <c r="K16" s="465">
        <f>IF(ISNUMBER((((NºAsuntos!C16+NºAsuntos!E16)/NºAsuntos!G16)-Datos!BG16)/Datos!BG16),(((NºAsuntos!C16+NºAsuntos!E16)/NºAsuntos!G16)-Datos!BG16)/Datos!BG16," - ")</f>
        <v>0.14572874730663793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0.22093023255813954</v>
      </c>
      <c r="C17" s="459">
        <f>IF(ISNUMBER(
   IF(D_I="SI",(Datos!J17-Datos!T17)/Datos!T17,(Datos!J17+Datos!AD17-(Datos!T17+Datos!AL17))/(Datos!T17+Datos!AL17))
     ),IF(D_I="SI",(Datos!J17-Datos!T17)/Datos!T17,(Datos!J17+Datos!AD17-(Datos!T17+Datos!AL17))/(Datos!T17+Datos!AL17))," - ")</f>
        <v>-0.5641025641025641</v>
      </c>
      <c r="D17" s="459">
        <f>IF(ISNUMBER(
   IF(D_I="SI",(Datos!K17-Datos!U17)/Datos!U17,(Datos!K17+Datos!AE17-(Datos!U17+Datos!AM17))/(Datos!U17+Datos!AM17))
     ),IF(D_I="SI",(Datos!K17-Datos!U17)/Datos!U17,(Datos!K17+Datos!AE17-(Datos!U17+Datos!AM17))/(Datos!U17+Datos!AM17))," - ")</f>
        <v>-0.328125</v>
      </c>
      <c r="E17" s="459">
        <f>IF(ISNUMBER(
   IF(D_I="SI",(Datos!L17-Datos!V17)/Datos!V17,(Datos!L17+Datos!AF17-(Datos!V17+Datos!AN17))/(Datos!V17+Datos!AN17))
     ),IF(D_I="SI",(Datos!L17-Datos!V17)/Datos!V17,(Datos!L17+Datos!AF17-(Datos!V17+Datos!AN17))/(Datos!V17+Datos!AN17))," - ")</f>
        <v>-0.04</v>
      </c>
      <c r="F17" s="459">
        <f>IF(ISNUMBER((Datos!M17-Datos!W17)/Datos!W17),(Datos!M17-Datos!W17)/Datos!W17," - ")</f>
        <v>0.33333333333333331</v>
      </c>
      <c r="G17" s="460">
        <f>IF(ISNUMBER((Datos!N17-Datos!X17)/Datos!X17),(Datos!N17-Datos!X17)/Datos!X17," - ")</f>
        <v>-0.43055555555555558</v>
      </c>
      <c r="H17" s="458">
        <f>IF(ISNUMBER(((NºAsuntos!G17/NºAsuntos!E17)-Datos!BD17)/Datos!BD17),((NºAsuntos!G17/NºAsuntos!E17)-Datos!BD17)/Datos!BD17," - ")</f>
        <v>0.54136029411764708</v>
      </c>
      <c r="I17" s="459">
        <f>IF(ISNUMBER(((NºAsuntos!I17/NºAsuntos!G17)-Datos!BE17)/Datos!BE17),((NºAsuntos!I17/NºAsuntos!G17)-Datos!BE17)/Datos!BE17," - ")</f>
        <v>0.42883720930232555</v>
      </c>
      <c r="J17" s="464">
        <f>IF(ISNUMBER((('Resol  Asuntos'!D17/NºAsuntos!G17)-Datos!BF17)/Datos!BF17),(('Resol  Asuntos'!D17/NºAsuntos!G17)-Datos!BF17)/Datos!BF17," - ")</f>
        <v>0.98449612403100772</v>
      </c>
      <c r="K17" s="465">
        <f>IF(ISNUMBER((((NºAsuntos!C17+NºAsuntos!E17)/NºAsuntos!G17)-Datos!BG17)/Datos!BG17),(((NºAsuntos!C17+NºAsuntos!E17)/NºAsuntos!G17)-Datos!BG17)/Datos!BG17," - ")</f>
        <v>0.26148610323312532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0.28471615720524018</v>
      </c>
      <c r="C18" s="858">
        <f>IF(ISNUMBER(
   IF(Criterios!B14="SI",(Datos!J18-Datos!T18)/Datos!T18,(Datos!J18+Datos!AD18-(Datos!T18+Datos!AL18))/(Datos!T18+Datos!AL18))
     ),IF(Criterios!B14="SI",(Datos!J18-Datos!T18)/Datos!T18,(Datos!J18+Datos!AD18-(Datos!T18+Datos!AL18))/(Datos!T18+Datos!AL18))," - ")</f>
        <v>0.16716240333135038</v>
      </c>
      <c r="D18" s="858">
        <f>IF(ISNUMBER(
   IF(Criterios!B14="SI",(Datos!K18-Datos!U18)/Datos!U18,(Datos!K18+Datos!AE18-(Datos!U18+Datos!AM18))/(Datos!U18+Datos!AM18))
     ),IF(Criterios!B14="SI",(Datos!K18-Datos!U18)/Datos!U18,(Datos!K18+Datos!AE18-(Datos!U18+Datos!AM18))/(Datos!U18+Datos!AM18))," - ")</f>
        <v>6.4439140811455853E-2</v>
      </c>
      <c r="E18" s="858">
        <f>IF(ISNUMBER(
   IF(Criterios!B14="SI",(Datos!L18-Datos!V18)/Datos!V18,(Datos!L18+Datos!AF18-(Datos!V18+Datos!AN18))/(Datos!V18+Datos!AN18))
     ),IF(Criterios!B14="SI",(Datos!L18-Datos!V18)/Datos!V18,(Datos!L18+Datos!AF18-(Datos!V18+Datos!AN18))/(Datos!V18+Datos!AN18))," - ")</f>
        <v>0.4277056277056277</v>
      </c>
      <c r="F18" s="859">
        <f>IF(ISNUMBER((Datos!M18-Datos!W18)/Datos!W18),(Datos!M18-Datos!W18)/Datos!W18," - ")</f>
        <v>-7.4866310160427801E-2</v>
      </c>
      <c r="G18" s="860">
        <f>IF(ISNUMBER((Datos!N18-Datos!X18)/Datos!X18),(Datos!N18-Datos!X18)/Datos!X18," - ")</f>
        <v>2.7027027027027029E-2</v>
      </c>
      <c r="H18" s="860">
        <f>IF(ISNUMBER(((NºAsuntos!G18/NºAsuntos!E18)-Datos!BD18)/Datos!BD18),((NºAsuntos!G18/NºAsuntos!E18)-Datos!BD18)/Datos!BD18," - ")</f>
        <v>-8.8011113300684313E-2</v>
      </c>
      <c r="I18" s="860">
        <f>IF(ISNUMBER(((NºAsuntos!I18/NºAsuntos!G18)-Datos!BE18)/Datos!BE18),((NºAsuntos!I18/NºAsuntos!G18)-Datos!BE18)/Datos!BE18," - ")</f>
        <v>0.34127501795663234</v>
      </c>
      <c r="J18" s="860">
        <f>IF(ISNUMBER((('Resol  Asuntos'!D18/NºAsuntos!G18)-Datos!BF18)/Datos!BF18),(('Resol  Asuntos'!D18/NºAsuntos!G18)-Datos!BF18)/Datos!BF18," - ")</f>
        <v>-0.13087216133905658</v>
      </c>
      <c r="K18" s="860">
        <f>IF(ISNUMBER((((NºAsuntos!C18+NºAsuntos!E18)/NºAsuntos!G18)-Datos!BG18)/Datos!BG18),(((NºAsuntos!C18+NºAsuntos!E18)/NºAsuntos!G18)-Datos!BG18)/Datos!BG18," - ")</f>
        <v>0.14125005157109341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0.17861339600470036</v>
      </c>
      <c r="C19" s="805">
        <f>IF(ISNUMBER(
   IF(J_V="SI",(Datos!J19-Datos!T19)/Datos!T19,(Datos!J19+Datos!Z19-(Datos!T19+Datos!AH19))/(Datos!T19+Datos!AH19))
     ),IF(J_V="SI",(Datos!J19-Datos!T19)/Datos!T19,(Datos!J19+Datos!Z19-(Datos!T19+Datos!AH19))/(Datos!T19+Datos!AH19))," - ")</f>
        <v>3.5207100591715973E-2</v>
      </c>
      <c r="D19" s="805">
        <f>IF(ISNUMBER(
   IF(J_V="SI",(Datos!K19-Datos!U19)/Datos!U19,(Datos!K19+Datos!AA19-(Datos!U19+Datos!AI19))/(Datos!U19+Datos!AI19))
     ),IF(J_V="SI",(Datos!K19-Datos!U19)/Datos!U19,(Datos!K19+Datos!AA19-(Datos!U19+Datos!AI19))/(Datos!U19+Datos!AI19))," - ")</f>
        <v>4.8301651604861329E-2</v>
      </c>
      <c r="E19" s="805">
        <f>IF(ISNUMBER(
   IF(J_V="SI",(Datos!L19-Datos!V19)/Datos!V19,(Datos!L19+Datos!AB19-(Datos!V19+Datos!AJ19))/(Datos!V19+Datos!AJ19))
     ),IF(J_V="SI",(Datos!L19-Datos!V19)/Datos!V19,(Datos!L19+Datos!AB19-(Datos!V19+Datos!AJ19))/(Datos!V19+Datos!AJ19))," - ")</f>
        <v>0.16226585420898218</v>
      </c>
      <c r="F19" s="806">
        <f>IF(ISNUMBER((Datos!M19-Datos!W19)/Datos!W19),(Datos!M19-Datos!W19)/Datos!W19," - ")</f>
        <v>1.7777777777777778E-2</v>
      </c>
      <c r="G19" s="807">
        <f>IF(ISNUMBER((Datos!N19-Datos!X19)/Datos!X19),(Datos!N19-Datos!X19)/Datos!X19," - ")</f>
        <v>3.4296913277804997E-3</v>
      </c>
      <c r="H19" s="808">
        <f>IF(ISNUMBER((Tasas!B19-Datos!BD19)/Datos!BD19),(Tasas!B19-Datos!BD19)/Datos!BD19," - ")</f>
        <v>1.2649209038134145E-2</v>
      </c>
      <c r="I19" s="809">
        <f>IF(ISNUMBER((Tasas!C19-Datos!BE19)/Datos!BE19),(Tasas!C19-Datos!BE19)/Datos!BE19," - ")</f>
        <v>0.10871317662206403</v>
      </c>
      <c r="J19" s="810">
        <f>IF(ISNUMBER((Tasas!D19-Datos!BF19)/Datos!BF19),(Tasas!D19-Datos!BF19)/Datos!BF19," - ")</f>
        <v>-0.55051733924438373</v>
      </c>
      <c r="K19" s="810">
        <f>IF(ISNUMBER((Tasas!E19-Datos!BG19)/Datos!BG19),(Tasas!E19-Datos!BG19)/Datos!BG19," - ")</f>
        <v>6.3746966026505092E-2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RcKnXymjJ5FoXE90KBged04ftqUcdxlcEFRuClobGqVqXmGCP78iwirOl4YB0q/HMYGZglKQ2aZ9Zy9SukE1g==" saltValue="FqGfm0L2E3Pv/QGZmnsQ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SANT BOI DE LLOBREGAT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4.8571428571428568</v>
      </c>
      <c r="D10" s="447">
        <f>IF(ISNUMBER('Resol  Asuntos'!D10/NºAsuntos!G10),'Resol  Asuntos'!D10/NºAsuntos!G10," - ")</f>
        <v>0.8571428571428571</v>
      </c>
      <c r="E10" s="448">
        <f>IF(ISNUMBER((NºAsuntos!C10+NºAsuntos!E10)/NºAsuntos!G10),(NºAsuntos!C10+NºAsuntos!E10)/NºAsuntos!G10," - ")</f>
        <v>5.8571428571428568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1.0328299409061064</v>
      </c>
      <c r="C12" s="446">
        <f>IF(ISNUMBER(NºAsuntos!I12/NºAsuntos!G12),NºAsuntos!I12/NºAsuntos!G12," - ")</f>
        <v>2.2040686586141129</v>
      </c>
      <c r="D12" s="447">
        <f>IF(ISNUMBER('Resol  Asuntos'!D12/NºAsuntos!G12),'Resol  Asuntos'!D12/NºAsuntos!G12," - ")</f>
        <v>0.17736808645899554</v>
      </c>
      <c r="E12" s="448">
        <f>IF(ISNUMBER((NºAsuntos!C12+NºAsuntos!E12)/NºAsuntos!G12),(NºAsuntos!C12+NºAsuntos!E12)/NºAsuntos!G12," - ")</f>
        <v>3.2040686586141129</v>
      </c>
      <c r="G12" s="466"/>
    </row>
    <row r="13" spans="1:7" ht="14.25" thickTop="1" thickBot="1">
      <c r="A13" s="851" t="str">
        <f>Datos!A13</f>
        <v>TOTAL</v>
      </c>
      <c r="B13" s="861">
        <f>IF(ISNUMBER(NºAsuntos!G13/NºAsuntos!E13),NºAsuntos!G13/NºAsuntos!E13," - ")</f>
        <v>1.0279765777488614</v>
      </c>
      <c r="C13" s="862">
        <f>IF(ISNUMBER(NºAsuntos!I13/NºAsuntos!G13),NºAsuntos!I13/NºAsuntos!G13," - ")</f>
        <v>2.2158227848101264</v>
      </c>
      <c r="D13" s="863">
        <f>IF(ISNUMBER('Resol  Asuntos'!D13/NºAsuntos!G13),'Resol  Asuntos'!D13/NºAsuntos!G13," - ")</f>
        <v>0.18037974683544303</v>
      </c>
      <c r="E13" s="864">
        <f>IF(ISNUMBER((NºAsuntos!C13+NºAsuntos!E13)/NºAsuntos!G13),(NºAsuntos!C13+NºAsuntos!E13)/NºAsuntos!G13," - ")</f>
        <v>3.2158227848101264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0.90300829875518673</v>
      </c>
      <c r="C16" s="446">
        <f>IF(ISNUMBER(NºAsuntos!I16/NºAsuntos!G16),NºAsuntos!I16/NºAsuntos!G16," - ")</f>
        <v>0.89201608271108557</v>
      </c>
      <c r="D16" s="447">
        <f>IF(ISNUMBER('Resol  Asuntos'!D16/NºAsuntos!G16),'Resol  Asuntos'!D16/NºAsuntos!G16," - ")</f>
        <v>9.7070649052268809E-2</v>
      </c>
      <c r="E16" s="448">
        <f>IF(ISNUMBER((NºAsuntos!C16+NºAsuntos!E16)/NºAsuntos!G16),(NºAsuntos!C16+NºAsuntos!E16)/NºAsuntos!G16," - ")</f>
        <v>1.8920160827110857</v>
      </c>
      <c r="G16" s="466"/>
    </row>
    <row r="17" spans="1:7" ht="13.5" thickBot="1">
      <c r="A17" s="405" t="str">
        <f>Datos!A17</f>
        <v>Jdos. Violencia contra la mujer</v>
      </c>
      <c r="B17" s="445">
        <f>IF(ISNUMBER(NºAsuntos!G17/NºAsuntos!E17),NºAsuntos!G17/NºAsuntos!E17," - ")</f>
        <v>1.2647058823529411</v>
      </c>
      <c r="C17" s="446">
        <f>IF(ISNUMBER(NºAsuntos!I17/NºAsuntos!G17),NºAsuntos!I17/NºAsuntos!G17," - ")</f>
        <v>2.2325581395348837</v>
      </c>
      <c r="D17" s="447">
        <f>IF(ISNUMBER('Resol  Asuntos'!D17/NºAsuntos!G17),'Resol  Asuntos'!D17/NºAsuntos!G17," - ")</f>
        <v>9.3023255813953487E-2</v>
      </c>
      <c r="E17" s="448">
        <f>IF(ISNUMBER((NºAsuntos!C17+NºAsuntos!E17)/NºAsuntos!G17),(NºAsuntos!C17+NºAsuntos!E17)/NºAsuntos!G17," - ")</f>
        <v>3.2325581395348837</v>
      </c>
      <c r="G17" s="466"/>
    </row>
    <row r="18" spans="1:7" ht="14.25" thickTop="1" thickBot="1">
      <c r="A18" s="851" t="str">
        <f>Datos!A18</f>
        <v>TOTAL</v>
      </c>
      <c r="B18" s="861">
        <f>IF(ISNUMBER(NºAsuntos!G18/NºAsuntos!E18),NºAsuntos!G18/NºAsuntos!E18," - ")</f>
        <v>0.90927624872579005</v>
      </c>
      <c r="C18" s="862">
        <f>IF(ISNUMBER(NºAsuntos!I18/NºAsuntos!G18),NºAsuntos!I18/NºAsuntos!G18," - ")</f>
        <v>0.92432735426008972</v>
      </c>
      <c r="D18" s="865">
        <f>IF(ISNUMBER('Resol  Asuntos'!D18/NºAsuntos!G18),'Resol  Asuntos'!D18/NºAsuntos!G18," - ")</f>
        <v>9.697309417040359E-2</v>
      </c>
      <c r="E18" s="864">
        <f>IF(ISNUMBER((NºAsuntos!C18+NºAsuntos!E18)/NºAsuntos!G18),(NºAsuntos!C18+NºAsuntos!E18)/NºAsuntos!G18," - ")</f>
        <v>1.9243273542600896</v>
      </c>
      <c r="G18" s="466"/>
    </row>
    <row r="19" spans="1:7" ht="15.75" customHeight="1" thickTop="1" thickBot="1">
      <c r="A19" s="796" t="str">
        <f>Datos!A19</f>
        <v>TOTAL JURISDICCIONES</v>
      </c>
      <c r="B19" s="811">
        <f>IF(ISNUMBER(NºAsuntos!G19/NºAsuntos!E19),NºAsuntos!G19/NºAsuntos!E19," - ")</f>
        <v>0.96141754787082023</v>
      </c>
      <c r="C19" s="812">
        <f>IF(ISNUMBER(NºAsuntos!I19/NºAsuntos!G19),NºAsuntos!I19/NºAsuntos!G19," - ")</f>
        <v>1.5309155766944114</v>
      </c>
      <c r="D19" s="813">
        <f>IF(ISNUMBER('Resol  Asuntos'!D19/NºAsuntos!G19),'Resol  Asuntos'!D19/NºAsuntos!G19," - ")</f>
        <v>0.13614744351961949</v>
      </c>
      <c r="E19" s="814">
        <f>IF(ISNUMBER((NºAsuntos!C19+NºAsuntos!E19)/NºAsuntos!G19),(NºAsuntos!C19+NºAsuntos!E19)/NºAsuntos!G19," - ")</f>
        <v>2.5309155766944116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tEzTtx7RKmlVJUlJuwrggzuQPLjV6woubovMTJWl76SSWHTLWyiMiMMRPh+dJ2Ahgntumi+I1jxDZwwZtXoEw==" saltValue="SHHoNOT9bqLKlBUBMQ0w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SANT BOI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34</v>
      </c>
      <c r="AB10" s="337">
        <f>IF(ISNUMBER(Datos!R10),Datos!R10," - ")</f>
        <v>25</v>
      </c>
      <c r="AC10" s="337">
        <f t="shared" ref="AC10:AC12" si="1">IF(ISNUMBER(AA10+AB10),AA10+AB10," - ")</f>
        <v>59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14.571428571428571</v>
      </c>
      <c r="AN10" s="247">
        <f>IF(ISNUMBER('Resol  Asuntos'!D10/NºAsuntos!G10),'Resol  Asuntos'!D10/NºAsuntos!G10," - ")</f>
        <v>0.8571428571428571</v>
      </c>
      <c r="AO10" s="248">
        <f>IF(ISNUMBER((NºAsuntos!C10+NºAsuntos!E10)/NºAsuntos!G10),(NºAsuntos!C10+NºAsuntos!E10)/NºAsuntos!G10," - ")</f>
        <v>5.8571428571428568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154</v>
      </c>
      <c r="Y12" s="337">
        <f t="shared" si="0"/>
        <v>154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5043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279</v>
      </c>
      <c r="AJ12" s="232" t="str">
        <f>IF(ISNUMBER(Datos!BW12),Datos!BW12," - ")</f>
        <v xml:space="preserve"> - </v>
      </c>
      <c r="AK12" s="231" t="str">
        <f>IF(ISNUMBER(Datos!BX12),Datos!BX12," - ")</f>
        <v xml:space="preserve"> - </v>
      </c>
      <c r="AL12" s="246">
        <f>IF(ISNUMBER(NºAsuntos!G12/NºAsuntos!E12),NºAsuntos!G12/NºAsuntos!E12," - ")</f>
        <v>1.0328299409061064</v>
      </c>
      <c r="AM12" s="263">
        <f>IF(ISNUMBER(((NºAsuntos!I12/NºAsuntos!G12)*11)/factor_trimestre),((NºAsuntos!I12/NºAsuntos!G12)*11)/factor_trimestre," - ")</f>
        <v>6.6122059758423397</v>
      </c>
      <c r="AN12" s="247">
        <f>IF(ISNUMBER('Resol  Asuntos'!D12/NºAsuntos!G12),'Resol  Asuntos'!D12/NºAsuntos!G12," - ")</f>
        <v>0.17736808645899554</v>
      </c>
      <c r="AO12" s="248">
        <f>IF(ISNUMBER((NºAsuntos!C12+NºAsuntos!E12)/NºAsuntos!G12),(NºAsuntos!C12+NºAsuntos!E12)/NºAsuntos!G12," - ")</f>
        <v>3.2040686586141129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27</v>
      </c>
      <c r="G13" s="869">
        <f t="shared" si="3"/>
        <v>27</v>
      </c>
      <c r="H13" s="868">
        <f t="shared" si="3"/>
        <v>0</v>
      </c>
      <c r="I13" s="870">
        <f t="shared" si="3"/>
        <v>0</v>
      </c>
      <c r="J13" s="870">
        <f t="shared" si="3"/>
        <v>0</v>
      </c>
      <c r="K13" s="870">
        <f t="shared" si="3"/>
        <v>0</v>
      </c>
      <c r="L13" s="870">
        <f t="shared" si="3"/>
        <v>313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154</v>
      </c>
      <c r="Y13" s="871">
        <f t="shared" si="4"/>
        <v>161</v>
      </c>
      <c r="Z13" s="871">
        <f t="shared" si="4"/>
        <v>0</v>
      </c>
      <c r="AA13" s="871">
        <f t="shared" si="4"/>
        <v>34</v>
      </c>
      <c r="AB13" s="871">
        <f t="shared" si="4"/>
        <v>5068</v>
      </c>
      <c r="AC13" s="871">
        <f t="shared" si="4"/>
        <v>59</v>
      </c>
      <c r="AD13" s="871">
        <f t="shared" si="4"/>
        <v>0</v>
      </c>
      <c r="AE13" s="875">
        <f t="shared" si="4"/>
        <v>0</v>
      </c>
      <c r="AF13" s="868">
        <f t="shared" si="4"/>
        <v>0</v>
      </c>
      <c r="AG13" s="876">
        <f t="shared" si="4"/>
        <v>0</v>
      </c>
      <c r="AH13" s="873">
        <f t="shared" si="4"/>
        <v>0</v>
      </c>
      <c r="AI13" s="868">
        <f t="shared" si="4"/>
        <v>285</v>
      </c>
      <c r="AJ13" s="870">
        <f t="shared" si="4"/>
        <v>0</v>
      </c>
      <c r="AK13" s="873">
        <f>SUBTOTAL(9,AK9:AK12)</f>
        <v>0</v>
      </c>
      <c r="AL13" s="877">
        <f>IF(ISNUMBER(NºAsuntos!G13/NºAsuntos!E13),NºAsuntos!G13/NºAsuntos!E13," - ")</f>
        <v>1.0279765777488614</v>
      </c>
      <c r="AM13" s="877">
        <f>IF(ISNUMBER(((NºAsuntos!I13/NºAsuntos!G13)*11)/factor_trimestre),((NºAsuntos!I13/NºAsuntos!G13)*11)/factor_trimestre," - ")</f>
        <v>6.6474683544303801</v>
      </c>
      <c r="AN13" s="878">
        <f>IF(ISNUMBER('Resol  Asuntos'!D13/NºAsuntos!G13),'Resol  Asuntos'!D13/NºAsuntos!G13," - ")</f>
        <v>0.18037974683544303</v>
      </c>
      <c r="AO13" s="879">
        <f>IF(ISNUMBER((NºAsuntos!C13+NºAsuntos!E13)/NºAsuntos!G13),(NºAsuntos!C13+NºAsuntos!E13)/NºAsuntos!G13," - ")</f>
        <v>3.2158227848101264</v>
      </c>
      <c r="AP13" s="880" t="str">
        <f t="shared" si="2"/>
        <v xml:space="preserve"> - </v>
      </c>
      <c r="AQ13" s="880">
        <f>IF(ISNUMBER((H13-W13+K13)/(F13)),(H13-W13+K13)/(F13)," - ")</f>
        <v>-0.25925925925925924</v>
      </c>
      <c r="AR13" s="881">
        <f>IF(ISNUMBER((Datos!P13-Datos!Q13)/(Datos!R13-Datos!P13+Datos!Q13)),(Datos!P13-Datos!Q13)/(Datos!R13-Datos!P13+Datos!Q13)," - ")</f>
        <v>3.238948869423508E-2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1366</v>
      </c>
      <c r="G16" s="336">
        <f>IF(ISNUMBER(IF(D_I="SI",Datos!I16,Datos!I16+Datos!AC16)),IF(D_I="SI",Datos!I16,Datos!I16+Datos!AC16)," - ")</f>
        <v>1366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1741</v>
      </c>
      <c r="X16" s="229">
        <f>IF(ISNUMBER(Datos!Q16),Datos!Q16," - ")</f>
        <v>37</v>
      </c>
      <c r="Y16" s="337">
        <f t="shared" ref="Y16:Y17" si="7">SUM(W16:X16)</f>
        <v>1778</v>
      </c>
      <c r="Z16" s="338" t="str">
        <f>IF(ISNUMBER(Datos!CC16),Datos!CC16," - ")</f>
        <v xml:space="preserve"> - </v>
      </c>
      <c r="AA16" s="335">
        <f>IF(ISNUMBER(IF(D_I="SI",Datos!L16,Datos!L16+Datos!AF16)),IF(D_I="SI",Datos!L16,Datos!L16+Datos!AF16)," - ")</f>
        <v>1553</v>
      </c>
      <c r="AB16" s="337">
        <f>IF(ISNUMBER(Datos!R16),Datos!R16," - ")</f>
        <v>475</v>
      </c>
      <c r="AC16" s="337">
        <f t="shared" si="6"/>
        <v>2028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169</v>
      </c>
      <c r="AJ16" s="234" t="str">
        <f>IF(ISNUMBER(Datos!BW16),Datos!BW16," - ")</f>
        <v xml:space="preserve"> - </v>
      </c>
      <c r="AK16" s="235" t="str">
        <f>IF(ISNUMBER(Datos!BX16),Datos!BX16," - ")</f>
        <v xml:space="preserve"> - </v>
      </c>
      <c r="AL16" s="246">
        <f>IF(ISNUMBER(NºAsuntos!G16/NºAsuntos!E16),NºAsuntos!G16/NºAsuntos!E16," - ")</f>
        <v>0.90300829875518673</v>
      </c>
      <c r="AM16" s="263">
        <f>IF(ISNUMBER(((NºAsuntos!I16/NºAsuntos!G16)*11)/factor_trimestre),((NºAsuntos!I16/NºAsuntos!G16)*11)/factor_trimestre," - ")</f>
        <v>2.6760482481332568</v>
      </c>
      <c r="AN16" s="247">
        <f>IF(ISNUMBER('Resol  Asuntos'!D16/NºAsuntos!G16),'Resol  Asuntos'!D16/NºAsuntos!G16," - ")</f>
        <v>9.7070649052268809E-2</v>
      </c>
      <c r="AO16" s="248">
        <f>IF(ISNUMBER((NºAsuntos!C16+NºAsuntos!E16)/NºAsuntos!G16),(NºAsuntos!C16+NºAsuntos!E16)/NºAsuntos!G16," - ")</f>
        <v>1.8920160827110857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v>
      </c>
      <c r="X17" s="229">
        <f>IF(ISNUMBER(Datos!Q17),Datos!Q17," - ")</f>
        <v>0</v>
      </c>
      <c r="Y17" s="337">
        <f t="shared" si="7"/>
        <v>43</v>
      </c>
      <c r="Z17" s="338" t="str">
        <f>IF(ISNUMBER(Datos!CC17),Datos!CC17," - ")</f>
        <v xml:space="preserve"> - </v>
      </c>
      <c r="AA17" s="335">
        <f>IF(ISNUMBER(Datos!L17),Datos!L17,"-")</f>
        <v>96</v>
      </c>
      <c r="AB17" s="337">
        <f>IF(ISNUMBER(Datos!R17),Datos!R17," - ")</f>
        <v>5</v>
      </c>
      <c r="AC17" s="337">
        <f t="shared" si="6"/>
        <v>101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1.2647058823529411</v>
      </c>
      <c r="AM17" s="263">
        <f>IF(ISNUMBER(((NºAsuntos!I17/NºAsuntos!G17)*11)/factor_trimestre),((NºAsuntos!I17/NºAsuntos!G17)*11)/factor_trimestre," - ")</f>
        <v>6.6976744186046515</v>
      </c>
      <c r="AN17" s="247">
        <f>IF(ISNUMBER('Resol  Asuntos'!D17/NºAsuntos!G17),'Resol  Asuntos'!D17/NºAsuntos!G17," - ")</f>
        <v>9.3023255813953487E-2</v>
      </c>
      <c r="AO17" s="248">
        <f>IF(ISNUMBER((NºAsuntos!C17+NºAsuntos!E17)/NºAsuntos!G17),(NºAsuntos!C17+NºAsuntos!E17)/NºAsuntos!G17," - ")</f>
        <v>3.2325581395348837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1366</v>
      </c>
      <c r="G18" s="869">
        <f>SUBTOTAL(9,G15:G17)</f>
        <v>1471</v>
      </c>
      <c r="H18" s="868">
        <f t="shared" ref="H18:O18" si="10">SUBTOTAL(9,H14:H17)</f>
        <v>0</v>
      </c>
      <c r="I18" s="870">
        <f t="shared" si="10"/>
        <v>0</v>
      </c>
      <c r="J18" s="870">
        <f t="shared" si="10"/>
        <v>0</v>
      </c>
      <c r="K18" s="870">
        <f t="shared" si="10"/>
        <v>0</v>
      </c>
      <c r="L18" s="870">
        <f t="shared" si="10"/>
        <v>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1784</v>
      </c>
      <c r="X18" s="870">
        <f t="shared" si="11"/>
        <v>37</v>
      </c>
      <c r="Y18" s="871">
        <f t="shared" si="11"/>
        <v>1821</v>
      </c>
      <c r="Z18" s="871">
        <f t="shared" si="11"/>
        <v>0</v>
      </c>
      <c r="AA18" s="871">
        <f t="shared" si="11"/>
        <v>1649</v>
      </c>
      <c r="AB18" s="871">
        <f t="shared" si="11"/>
        <v>480</v>
      </c>
      <c r="AC18" s="871">
        <f t="shared" si="11"/>
        <v>2129</v>
      </c>
      <c r="AD18" s="871">
        <f t="shared" si="11"/>
        <v>0</v>
      </c>
      <c r="AE18" s="875">
        <f t="shared" si="11"/>
        <v>0</v>
      </c>
      <c r="AF18" s="868">
        <f t="shared" si="11"/>
        <v>0</v>
      </c>
      <c r="AG18" s="876">
        <f t="shared" si="11"/>
        <v>0</v>
      </c>
      <c r="AH18" s="873">
        <f t="shared" si="11"/>
        <v>0</v>
      </c>
      <c r="AI18" s="868">
        <f t="shared" si="11"/>
        <v>173</v>
      </c>
      <c r="AJ18" s="870">
        <f t="shared" si="11"/>
        <v>0</v>
      </c>
      <c r="AK18" s="873">
        <f t="shared" si="11"/>
        <v>0</v>
      </c>
      <c r="AL18" s="877">
        <f>IF(ISNUMBER(NºAsuntos!G18/NºAsuntos!E18),NºAsuntos!G18/NºAsuntos!E18," - ")</f>
        <v>0.90927624872579005</v>
      </c>
      <c r="AM18" s="877">
        <f>IF(ISNUMBER(((NºAsuntos!I18/NºAsuntos!G18)*11)/factor_trimestre),((NºAsuntos!I18/NºAsuntos!G18)*11)/factor_trimestre," - ")</f>
        <v>2.7729820627802693</v>
      </c>
      <c r="AN18" s="878">
        <f>IF(ISNUMBER('Resol  Asuntos'!D18/NºAsuntos!G18),'Resol  Asuntos'!D18/NºAsuntos!G18," - ")</f>
        <v>9.697309417040359E-2</v>
      </c>
      <c r="AO18" s="879">
        <f>IF(ISNUMBER((NºAsuntos!C18+NºAsuntos!E18)/NºAsuntos!G18),(NºAsuntos!C18+NºAsuntos!E18)/NºAsuntos!G18," - ")</f>
        <v>1.9243273542600896</v>
      </c>
      <c r="AP18" s="880" t="str">
        <f t="shared" si="2"/>
        <v xml:space="preserve"> - </v>
      </c>
      <c r="AQ18" s="880">
        <f>IF(ISNUMBER((H18-W18+K18)/(F18)),(H18-W18+K18)/(F18)," - ")</f>
        <v>-1.3060029282576866</v>
      </c>
      <c r="AR18" s="881">
        <f>IF(ISNUMBER((Datos!P18-Datos!Q18)/(Datos!R18-Datos!P18+Datos!Q18)),(Datos!P18-Datos!Q18)/(Datos!R18-Datos!P18+Datos!Q18)," - ")</f>
        <v>1.4799154334038054E-2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1393</v>
      </c>
      <c r="G19" s="824">
        <f t="shared" si="13"/>
        <v>1498</v>
      </c>
      <c r="H19" s="823">
        <f t="shared" si="13"/>
        <v>0</v>
      </c>
      <c r="I19" s="825">
        <f t="shared" si="13"/>
        <v>0</v>
      </c>
      <c r="J19" s="825">
        <f t="shared" si="13"/>
        <v>0</v>
      </c>
      <c r="K19" s="884">
        <f t="shared" si="13"/>
        <v>0</v>
      </c>
      <c r="L19" s="825">
        <f t="shared" si="13"/>
        <v>357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1791</v>
      </c>
      <c r="X19" s="824">
        <f t="shared" si="14"/>
        <v>191</v>
      </c>
      <c r="Y19" s="831">
        <f t="shared" si="14"/>
        <v>1982</v>
      </c>
      <c r="Z19" s="831">
        <f t="shared" si="14"/>
        <v>0</v>
      </c>
      <c r="AA19" s="831">
        <f t="shared" si="14"/>
        <v>1683</v>
      </c>
      <c r="AB19" s="831">
        <f t="shared" si="14"/>
        <v>5548</v>
      </c>
      <c r="AC19" s="831">
        <f t="shared" si="14"/>
        <v>2188</v>
      </c>
      <c r="AD19" s="831">
        <f t="shared" si="14"/>
        <v>0</v>
      </c>
      <c r="AE19" s="833">
        <f t="shared" si="14"/>
        <v>0</v>
      </c>
      <c r="AF19" s="834">
        <f t="shared" si="14"/>
        <v>0</v>
      </c>
      <c r="AG19" s="835">
        <f t="shared" si="14"/>
        <v>0</v>
      </c>
      <c r="AH19" s="833">
        <f t="shared" si="14"/>
        <v>0</v>
      </c>
      <c r="AI19" s="823">
        <f t="shared" si="14"/>
        <v>458</v>
      </c>
      <c r="AJ19" s="823">
        <f t="shared" si="14"/>
        <v>0</v>
      </c>
      <c r="AK19" s="833">
        <f t="shared" si="14"/>
        <v>0</v>
      </c>
      <c r="AL19" s="887">
        <f>IF(ISNUMBER(NºAsuntos!G19/NºAsuntos!E19),NºAsuntos!G19/NºAsuntos!E19," - ")</f>
        <v>0.96141754787082023</v>
      </c>
      <c r="AM19" s="888">
        <f>IF(ISNUMBER(((NºAsuntos!I19/NºAsuntos!G19)*11)/factor_trimestre),((NºAsuntos!I19/NºAsuntos!G19)*11)/factor_trimestre," - ")</f>
        <v>4.5927467300832339</v>
      </c>
      <c r="AN19" s="888">
        <f>IF(ISNUMBER('Resol  Asuntos'!D19/NºAsuntos!G19),'Resol  Asuntos'!D19/NºAsuntos!G19," - ")</f>
        <v>0.13614744351961949</v>
      </c>
      <c r="AO19" s="889">
        <f>IF(ISNUMBER((NºAsuntos!C19+NºAsuntos!E19)/NºAsuntos!G19),(NºAsuntos!C19+NºAsuntos!E19)/NºAsuntos!G19," - ")</f>
        <v>2.5309155766944116</v>
      </c>
      <c r="AP19" s="890" t="str">
        <f t="shared" si="2"/>
        <v xml:space="preserve"> - </v>
      </c>
      <c r="AQ19" s="891">
        <f>IF(OR(ISNUMBER(FIND("01",Criterios!A8,1)),ISNUMBER(FIND("02",Criterios!A8,1)),ISNUMBER(FIND("03",Criterios!A8,1)),ISNUMBER(FIND("04",Criterios!A8,1))),(I19-W19+K19)/(F19-K19),(H19-W19+K19)/(F19-K19))</f>
        <v>-1.2857142857142858</v>
      </c>
      <c r="AR19" s="892">
        <f>IF(ISNUMBER((Datos!P19-Datos!Q19)/(Datos!R19-Datos!P19+Datos!Q19)),(Datos!P19-Datos!Q19)/(Datos!R19-Datos!P19+Datos!Q19)," - ")</f>
        <v>3.0843552582683016E-2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599.20000000000005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773.07201044490887</v>
      </c>
      <c r="G21" s="256">
        <f>IF(ISNUMBER(STDEV(G8:G18)),STDEV(G8:G18),"-")</f>
        <v>749.512641654562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955.18835838801976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124.71193474029127</v>
      </c>
      <c r="AJ21" s="255">
        <f t="shared" si="18"/>
        <v>0</v>
      </c>
      <c r="AK21" s="257">
        <f t="shared" si="18"/>
        <v>0</v>
      </c>
      <c r="AL21" s="252">
        <f t="shared" si="18"/>
        <v>0.25207249439119173</v>
      </c>
      <c r="AM21" s="253">
        <f t="shared" si="18"/>
        <v>4.3260903797085506</v>
      </c>
      <c r="AN21" s="253">
        <f t="shared" si="18"/>
        <v>0.30006349436118684</v>
      </c>
      <c r="AO21" s="254">
        <f t="shared" si="18"/>
        <v>1.4420301265695181</v>
      </c>
      <c r="AP21" s="294" t="str">
        <f t="shared" si="18"/>
        <v>-</v>
      </c>
      <c r="AQ21" s="295">
        <f t="shared" si="18"/>
        <v>0.74015954651287474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1Y03UpKfCgmf0J9SGJTmvCwOYHXEBEh7qlnzytKPXneEMRlztVhFk0kE4CBrmid8mJ9upl65/arQ1+z8YrKweg==" saltValue="vbCM8qUdNEmkwuIvzaJJ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SANT BOI DE LLOBREGAT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-0.28947368421052633</v>
      </c>
      <c r="E10" s="351">
        <f>IF(ISNUMBER((Datos!J10-Datos!T10)/Datos!T10),(Datos!J10-Datos!T10)/Datos!T10," - ")</f>
        <v>0</v>
      </c>
      <c r="F10" s="351">
        <f>IF(ISNUMBER((Datos!K10-Datos!U10)/Datos!U10),(Datos!K10-Datos!U10)/Datos!U10," - ")</f>
        <v>0.75</v>
      </c>
      <c r="G10" s="352">
        <f>IF(ISNUMBER((Datos!L10-Datos!V10)/Datos!V10),(Datos!L10-Datos!V10)/Datos!V10," - ")</f>
        <v>-0.29166666666666669</v>
      </c>
      <c r="H10" s="233">
        <f>IF(ISNUMBER((Datos!M10-Datos!W10)/Datos!W10),(Datos!M10-Datos!W10)/Datos!W10," - ")</f>
        <v>2</v>
      </c>
      <c r="I10" s="353">
        <f>IF(ISNUMBER((Tasas!C10-Datos!BE10)/Datos!BE10),(Tasas!C10-Datos!BE10)/Datos!BE10," - ")</f>
        <v>-0.59523809523809523</v>
      </c>
      <c r="J10" s="352">
        <f>IF(ISNUMBER((Tasas!D10-Datos!BF10)/Datos!BF10),(Tasas!D10-Datos!BF10)/Datos!BF10," - ")</f>
        <v>0.71428571428571419</v>
      </c>
      <c r="K10" s="354">
        <f>IF(ISNUMBER((Tasas!E10-Datos!BG10)/Datos!BG10),(Tasas!E10-Datos!BG10)/Datos!BG10," - ")</f>
        <v>-0.5494505494505495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6.8965517241379309E-2</v>
      </c>
      <c r="I12" s="353">
        <f>IF(ISNUMBER((Tasas!C12-Datos!BE12)/Datos!BE12),(Tasas!C12-Datos!BE12)/Datos!BE12," - ")</f>
        <v>4.3996585818147034E-2</v>
      </c>
      <c r="J12" s="352">
        <f>IF(ISNUMBER((Tasas!D12-Datos!BF12)/Datos!BF12),(Tasas!D12-Datos!BF12)/Datos!BF12," - ")</f>
        <v>-0.65364520536934334</v>
      </c>
      <c r="K12" s="354">
        <f>IF(ISNUMBER((Tasas!E12-Datos!BG12)/Datos!BG12),(Tasas!E12-Datos!BG12)/Datos!BG12," - ")</f>
        <v>2.985515640550318E-2</v>
      </c>
      <c r="M12" t="e">
        <f>IF(Monitorios="SI",Datos!CE12,0)</f>
        <v>#REF!</v>
      </c>
      <c r="N12" t="e">
        <f>IF(Monitorios="SI",Datos!CF12,0)</f>
        <v>#REF!</v>
      </c>
      <c r="O12" t="e">
        <f>IF(Monitorios="SI",Datos!CG12,0)</f>
        <v>#REF!</v>
      </c>
      <c r="P12" t="e">
        <f>IF(Monitorios="SI",Datos!CH12,0)</f>
        <v>#REF!</v>
      </c>
      <c r="Q12">
        <f>IF(J_V="SI",0,Datos!AG12)</f>
        <v>87</v>
      </c>
      <c r="R12">
        <f>IF(J_V="SI",0,Datos!AH12)</f>
        <v>408</v>
      </c>
      <c r="S12">
        <f>IF(J_V="SI",0,Datos!AI12)</f>
        <v>368</v>
      </c>
      <c r="T12">
        <f>IF(J_V="SI",0,Datos!AJ12)</f>
        <v>127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8.3650190114068435E-2</v>
      </c>
      <c r="I13" s="360">
        <f>IF(ISNUMBER((Tasas!C13-Datos!BE13)/Datos!BE13),(Tasas!C13-Datos!BE13)/Datos!BE13," - ")</f>
        <v>3.6891431353456537E-2</v>
      </c>
      <c r="J13" s="358">
        <f>IF(ISNUMBER((Tasas!D13-Datos!BF13)/Datos!BF13),(Tasas!D13-Datos!BF13)/Datos!BF13," - ")</f>
        <v>-0.64774248165766357</v>
      </c>
      <c r="K13" s="361">
        <f>IF(ISNUMBER((Tasas!E13-Datos!BG13)/Datos!BG13),(Tasas!E13-Datos!BG13)/Datos!BG13," - ")</f>
        <v>2.5131280747332837E-2</v>
      </c>
      <c r="M13" t="e">
        <f>IF(Monitorios="SI",Datos!CE13,0)</f>
        <v>#REF!</v>
      </c>
      <c r="N13" t="e">
        <f>IF(Monitorios="SI",Datos!CF13,0)</f>
        <v>#REF!</v>
      </c>
      <c r="O13" t="e">
        <f>IF(Monitorios="SI",Datos!CG13,0)</f>
        <v>#REF!</v>
      </c>
      <c r="P13" t="e">
        <f>IF(Monitorios="SI",Datos!CH13,0)</f>
        <v>#REF!</v>
      </c>
      <c r="Q13">
        <f>IF(J_V="SI",0,Datos!AG13)</f>
        <v>87</v>
      </c>
      <c r="R13">
        <f>IF(J_V="SI",0,Datos!AH13)</f>
        <v>408</v>
      </c>
      <c r="S13">
        <f>IF(J_V="SI",0,Datos!AI13)</f>
        <v>368</v>
      </c>
      <c r="T13">
        <f>IF(J_V="SI",0,Datos!AJ13)</f>
        <v>127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0.28989612842304058</v>
      </c>
      <c r="E16" s="351">
        <f>IF(ISNUMBER(
   IF(D_I="SI",(Datos!J16-Datos!T16)/Datos!T16,(Datos!J16+Datos!AD16-(Datos!T16+Datos!AL16))/(Datos!T16+Datos!AL16))
     ),IF(D_I="SI",(Datos!J16-Datos!T16)/Datos!T16,(Datos!J16+Datos!AD16-(Datos!T16+Datos!AL16))/(Datos!T16+Datos!AL16))," - ")</f>
        <v>0.20274485339987525</v>
      </c>
      <c r="F16" s="351">
        <f>IF(ISNUMBER(
   IF(D_I="SI",(Datos!K16-Datos!U16)/Datos!U16,(Datos!K16+Datos!AE16-(Datos!U16+Datos!AM16))/(Datos!U16+Datos!AM16))
     ),IF(D_I="SI",(Datos!K16-Datos!U16)/Datos!U16,(Datos!K16+Datos!AE16-(Datos!U16+Datos!AM16))/(Datos!U16+Datos!AM16))," - ")</f>
        <v>8.0024813895781644E-2</v>
      </c>
      <c r="G16" s="352">
        <f>IF(ISNUMBER(
   IF(D_I="SI",(Datos!L16-Datos!V16)/Datos!V16,(Datos!L16+Datos!AF16-(Datos!V16+Datos!AN16))/(Datos!V16+Datos!AN16))
     ),IF(D_I="SI",(Datos!L16-Datos!V16)/Datos!V16,(Datos!L16+Datos!AF16-(Datos!V16+Datos!AN16))/(Datos!V16+Datos!AN16))," - ")</f>
        <v>0.47203791469194312</v>
      </c>
      <c r="H16" s="233">
        <f>IF(ISNUMBER((Datos!M16-Datos!W16)/Datos!W16),(Datos!M16-Datos!W16)/Datos!W16," - ")</f>
        <v>-8.1521739130434784E-2</v>
      </c>
      <c r="I16" s="353">
        <f>IF(ISNUMBER((Tasas!C16-Datos!BE16)/Datos!BE16),(Tasas!C16-Datos!BE16)/Datos!BE16," - ")</f>
        <v>0.36296675386755434</v>
      </c>
      <c r="J16" s="352">
        <f>IF(ISNUMBER((Tasas!D16-Datos!BF16)/Datos!BF16),(Tasas!D16-Datos!BF16)/Datos!BF16," - ")</f>
        <v>-0.14957670504207973</v>
      </c>
      <c r="K16" s="354">
        <f>IF(ISNUMBER((Tasas!E16-Datos!BG16)/Datos!BG16),(Tasas!E16-Datos!BG16)/Datos!BG16," - ")</f>
        <v>0.14572874730663793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0.22093023255813954</v>
      </c>
      <c r="E17" s="351">
        <f>IF(ISNUMBER(
   IF(D_I="SI",(Datos!J17-Datos!T17)/Datos!T17,(Datos!J17+Datos!AD17-(Datos!T17+Datos!AL17))/(Datos!T17+Datos!AL17))
     ),IF(D_I="SI",(Datos!J17-Datos!T17)/Datos!T17,(Datos!J17+Datos!AD17-(Datos!T17+Datos!AL17))/(Datos!T17+Datos!AL17))," - ")</f>
        <v>-0.5641025641025641</v>
      </c>
      <c r="F17" s="351">
        <f>IF(ISNUMBER(
   IF(D_I="SI",(Datos!K17-Datos!U17)/Datos!U17,(Datos!K17+Datos!AE17-(Datos!U17+Datos!AM17))/(Datos!U17+Datos!AM17))
     ),IF(D_I="SI",(Datos!K17-Datos!U17)/Datos!U17,(Datos!K17+Datos!AE17-(Datos!U17+Datos!AM17))/(Datos!U17+Datos!AM17))," - ")</f>
        <v>-0.328125</v>
      </c>
      <c r="G17" s="352">
        <f>IF(ISNUMBER(
   IF(D_I="SI",(Datos!L17-Datos!V17)/Datos!V17,(Datos!L17+Datos!AF17-(Datos!V17+Datos!AN17))/(Datos!V17+Datos!AN17))
     ),IF(D_I="SI",(Datos!L17-Datos!V17)/Datos!V17,(Datos!L17+Datos!AF17-(Datos!V17+Datos!AN17))/(Datos!V17+Datos!AN17))," - ")</f>
        <v>-0.04</v>
      </c>
      <c r="H17" s="233">
        <f>IF(ISNUMBER((Datos!M17-Datos!W17)/Datos!W17),(Datos!M17-Datos!W17)/Datos!W17," - ")</f>
        <v>0.33333333333333331</v>
      </c>
      <c r="I17" s="353">
        <f>IF(ISNUMBER((Tasas!C17-Datos!BE17)/Datos!BE17),(Tasas!C17-Datos!BE17)/Datos!BE17," - ")</f>
        <v>0.42883720930232555</v>
      </c>
      <c r="J17" s="352">
        <f>IF(ISNUMBER((Tasas!D17-Datos!BF17)/Datos!BF17),(Tasas!D17-Datos!BF17)/Datos!BF17," - ")</f>
        <v>0.98449612403100772</v>
      </c>
      <c r="K17" s="354">
        <f>IF(ISNUMBER((Tasas!E17-Datos!BG17)/Datos!BG17),(Tasas!E17-Datos!BG17)/Datos!BG17," - ")</f>
        <v>0.26148610323312532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0.28471615720524018</v>
      </c>
      <c r="E18" s="357">
        <f>IF(ISNUMBER(
   IF(D_I="SI",(Datos!J18-Datos!T18)/Datos!T18,(Datos!J18+Datos!AD18-(Datos!T18+Datos!AL18))/(Datos!T18+Datos!AL18))
     ),IF(D_I="SI",(Datos!J18-Datos!T18)/Datos!T18,(Datos!J18+Datos!AD18-(Datos!T18+Datos!AL18))/(Datos!T18+Datos!AL18))," - ")</f>
        <v>0.16716240333135038</v>
      </c>
      <c r="F18" s="357">
        <f>IF(ISNUMBER(
   IF(D_I="SI",(Datos!K18-Datos!U18)/Datos!U18,(Datos!K18+Datos!AE18-(Datos!U18+Datos!AM18))/(Datos!U18+Datos!AM18))
     ),IF(D_I="SI",(Datos!K18-Datos!U18)/Datos!U18,(Datos!K18+Datos!AE18-(Datos!U18+Datos!AM18))/(Datos!U18+Datos!AM18))," - ")</f>
        <v>6.4439140811455853E-2</v>
      </c>
      <c r="G18" s="358">
        <f>IF(ISNUMBER(
   IF(D_I="SI",(Datos!L18-Datos!V18)/Datos!V18,(Datos!L18+Datos!AF18-(Datos!V18+Datos!AN18))/(Datos!V18+Datos!AN18))
     ),IF(D_I="SI",(Datos!L18-Datos!V18)/Datos!V18,(Datos!L18+Datos!AF18-(Datos!V18+Datos!AN18))/(Datos!V18+Datos!AN18))," - ")</f>
        <v>0.4277056277056277</v>
      </c>
      <c r="H18" s="359">
        <f>IF(ISNUMBER((Datos!M18-Datos!W18)/Datos!W18),(Datos!M18-Datos!W18)/Datos!W18," - ")</f>
        <v>-7.4866310160427801E-2</v>
      </c>
      <c r="I18" s="360">
        <f>IF(ISNUMBER((Tasas!C18-Datos!BE18)/Datos!BE18),(Tasas!C18-Datos!BE18)/Datos!BE18," - ")</f>
        <v>0.34127501795663234</v>
      </c>
      <c r="J18" s="358">
        <f>IF(ISNUMBER((Tasas!D18-Datos!BF18)/Datos!BF18),(Tasas!D18-Datos!BF18)/Datos!BF18," - ")</f>
        <v>-0.13087216133905658</v>
      </c>
      <c r="K18" s="361">
        <f>IF(ISNUMBER((Tasas!E18-Datos!BG18)/Datos!BG18),(Tasas!E18-Datos!BG18)/Datos!BG18," - ")</f>
        <v>0.14125005157109341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0.17861339600470036</v>
      </c>
      <c r="E19" s="366">
        <f>IF(ISNUMBER(
   IF(J_V="SI",(Datos!J19-Datos!T19)/Datos!T19,(Datos!J19+Datos!Z19-(Datos!T19+Datos!AH19))/(Datos!T19+Datos!AH19))
     ),IF(J_V="SI",(Datos!J19-Datos!T19)/Datos!T19,(Datos!J19+Datos!Z19-(Datos!T19+Datos!AH19))/(Datos!T19+Datos!AH19))," - ")</f>
        <v>3.5207100591715973E-2</v>
      </c>
      <c r="F19" s="366">
        <f>IF(ISNUMBER(
   IF(J_V="SI",(Datos!K19-Datos!U19)/Datos!U19,(Datos!K19+Datos!AA19-(Datos!U19+Datos!AI19))/(Datos!U19+Datos!AI19))
     ),IF(J_V="SI",(Datos!K19-Datos!U19)/Datos!U19,(Datos!K19+Datos!AA19-(Datos!U19+Datos!AI19))/(Datos!U19+Datos!AI19))," - ")</f>
        <v>4.8301651604861329E-2</v>
      </c>
      <c r="G19" s="367">
        <f>IF(ISNUMBER(
   IF(J_V="SI",(Datos!L19-Datos!V19)/Datos!V19,(Datos!L19+Datos!AB19-(Datos!V19+Datos!AJ19))/(Datos!V19+Datos!AJ19))
     ),IF(J_V="SI",(Datos!L19-Datos!V19)/Datos!V19,(Datos!L19+Datos!AB19-(Datos!V19+Datos!AJ19))/(Datos!V19+Datos!AJ19))," - ")</f>
        <v>0.16226585420898218</v>
      </c>
      <c r="H19" s="368">
        <f>IF(ISNUMBER((Datos!M19-Datos!W19)/Datos!W19),(Datos!M19-Datos!W19)/Datos!W19," - ")</f>
        <v>1.7777777777777778E-2</v>
      </c>
      <c r="I19" s="365">
        <f>IF(ISNUMBER((Tasas!C19-Datos!BE19)/Datos!BE19),(Tasas!C19-Datos!BE19)/Datos!BE19," - ")</f>
        <v>0.10871317662206403</v>
      </c>
      <c r="J19" s="366">
        <f>IF(ISNUMBER((Tasas!D19-Datos!BF19)/Datos!BF19),(Tasas!D19-Datos!BF19)/Datos!BF19," - ")</f>
        <v>-0.55051733924438373</v>
      </c>
      <c r="K19" s="367">
        <f>IF(ISNUMBER((Tasas!E19-Datos!BG19)/Datos!BG19),(Tasas!E19-Datos!BG19)/Datos!BG19," - ")</f>
        <v>6.3746966026505092E-2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0.27909485889004715</v>
      </c>
      <c r="E21" s="281">
        <f t="shared" si="1"/>
        <v>0.35488612875281333</v>
      </c>
      <c r="F21" s="281">
        <f t="shared" si="1"/>
        <v>0.44741384139960455</v>
      </c>
      <c r="G21" s="282">
        <f t="shared" si="1"/>
        <v>0.37046975006388011</v>
      </c>
      <c r="H21" s="288">
        <f t="shared" si="1"/>
        <v>0.80382084209020277</v>
      </c>
      <c r="I21" s="280">
        <f t="shared" si="1"/>
        <v>0.38102904852254577</v>
      </c>
      <c r="J21" s="281">
        <f t="shared" si="1"/>
        <v>0.68752897009587888</v>
      </c>
      <c r="K21" s="282">
        <f t="shared" si="1"/>
        <v>0.28722682004130873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tz5TjYw6+gk1jTrWyGtkfeX4thgXU4B3HSQBbeJ26/JBk8gL97c4k+kj277eVwQ8mlqzpziUK3tnj/0r5ShBA==" saltValue="Kl/rIXW6OA/ehU9iwdAO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